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 15-abr\"/>
    </mc:Choice>
  </mc:AlternateContent>
  <bookViews>
    <workbookView xWindow="0" yWindow="0" windowWidth="20490" windowHeight="7530"/>
  </bookViews>
  <sheets>
    <sheet name="Instruções" sheetId="1" r:id="rId1"/>
    <sheet name="Premissas econômicas" sheetId="2" r:id="rId2"/>
    <sheet name="Plano de vendas" sheetId="3" r:id="rId3"/>
    <sheet name="Faturamento" sheetId="4" r:id="rId4"/>
    <sheet name="Plano de produção" sheetId="5" r:id="rId5"/>
    <sheet name="Matéria-prima" sheetId="6" r:id="rId6"/>
    <sheet name="Mão de obra" sheetId="7" r:id="rId7"/>
    <sheet name="Investimento" sheetId="8" r:id="rId8"/>
    <sheet name="Plano de RH" sheetId="9" r:id="rId9"/>
    <sheet name="Gastos operacionais" sheetId="10" r:id="rId10"/>
    <sheet name="Custo do produto" sheetId="11" r:id="rId11"/>
    <sheet name="Plano financeiro" sheetId="12" r:id="rId12"/>
    <sheet name="DRE Projetado" sheetId="13" r:id="rId13"/>
    <sheet name="Balanço" sheetId="14" r:id="rId14"/>
  </sheets>
  <calcPr calcId="171027" concurrentCalc="0"/>
</workbook>
</file>

<file path=xl/calcChain.xml><?xml version="1.0" encoding="utf-8"?>
<calcChain xmlns="http://schemas.openxmlformats.org/spreadsheetml/2006/main">
  <c r="E23" i="5" l="1"/>
  <c r="D18" i="3"/>
  <c r="E18" i="3"/>
  <c r="D22" i="3"/>
  <c r="E22" i="3"/>
  <c r="D26" i="3"/>
  <c r="E26" i="3"/>
  <c r="D30" i="3"/>
  <c r="E30" i="3"/>
  <c r="E34" i="3"/>
  <c r="E18" i="5"/>
  <c r="E21" i="5"/>
  <c r="C34" i="3"/>
  <c r="C18" i="5"/>
  <c r="C21" i="5"/>
  <c r="E20" i="5"/>
  <c r="E28" i="5"/>
  <c r="E24" i="5"/>
  <c r="F23" i="5"/>
  <c r="F18" i="3"/>
  <c r="F22" i="3"/>
  <c r="F26" i="3"/>
  <c r="F30" i="3"/>
  <c r="F34" i="3"/>
  <c r="F18" i="5"/>
  <c r="F21" i="5"/>
  <c r="F20" i="5"/>
  <c r="F28" i="5"/>
  <c r="F24" i="5"/>
  <c r="F30" i="5"/>
  <c r="E30" i="5"/>
  <c r="C75" i="1"/>
  <c r="C14" i="14"/>
  <c r="C18" i="14"/>
  <c r="C29" i="14"/>
  <c r="D35" i="14"/>
  <c r="E35" i="14"/>
  <c r="F35" i="14"/>
  <c r="G35" i="14"/>
  <c r="C36" i="14"/>
  <c r="C18" i="11"/>
  <c r="D18" i="11"/>
  <c r="C19" i="11"/>
  <c r="D19" i="11"/>
  <c r="H76" i="1"/>
  <c r="C79" i="1"/>
  <c r="C89" i="1"/>
  <c r="C96" i="1"/>
  <c r="D19" i="4"/>
  <c r="D21" i="4"/>
  <c r="E20" i="4"/>
  <c r="H20" i="4"/>
  <c r="D23" i="4"/>
  <c r="D25" i="4"/>
  <c r="E24" i="4"/>
  <c r="F24" i="4"/>
  <c r="I24" i="4"/>
  <c r="D27" i="4"/>
  <c r="D29" i="4"/>
  <c r="E28" i="4"/>
  <c r="G28" i="4"/>
  <c r="F28" i="4"/>
  <c r="D31" i="4"/>
  <c r="D33" i="4"/>
  <c r="E32" i="4"/>
  <c r="G32" i="4"/>
  <c r="H32" i="4"/>
  <c r="C18" i="10"/>
  <c r="D18" i="10"/>
  <c r="C23" i="10"/>
  <c r="C37" i="10"/>
  <c r="D37" i="10"/>
  <c r="E37" i="10"/>
  <c r="F37" i="10"/>
  <c r="G37" i="10"/>
  <c r="C44" i="10"/>
  <c r="D44" i="10"/>
  <c r="E44" i="10"/>
  <c r="F44" i="10"/>
  <c r="G44" i="10"/>
  <c r="C51" i="10"/>
  <c r="D51" i="10"/>
  <c r="E51" i="10"/>
  <c r="F51" i="10"/>
  <c r="G51" i="10"/>
  <c r="C58" i="10"/>
  <c r="D58" i="10"/>
  <c r="E58" i="10"/>
  <c r="F58" i="10"/>
  <c r="G58" i="10"/>
  <c r="C65" i="10"/>
  <c r="D65" i="10"/>
  <c r="E65" i="10"/>
  <c r="F65" i="10"/>
  <c r="G65" i="10"/>
  <c r="C72" i="10"/>
  <c r="D72" i="10"/>
  <c r="E72" i="10"/>
  <c r="F72" i="10"/>
  <c r="G72" i="10"/>
  <c r="C79" i="10"/>
  <c r="D79" i="10"/>
  <c r="E79" i="10"/>
  <c r="F79" i="10"/>
  <c r="F86" i="10"/>
  <c r="G79" i="10"/>
  <c r="D29" i="8"/>
  <c r="E36" i="8"/>
  <c r="C30" i="8"/>
  <c r="D33" i="8"/>
  <c r="E33" i="8"/>
  <c r="F33" i="8"/>
  <c r="G33" i="8"/>
  <c r="D34" i="8"/>
  <c r="D41" i="8"/>
  <c r="D35" i="8"/>
  <c r="D42" i="8"/>
  <c r="E35" i="8"/>
  <c r="F35" i="8"/>
  <c r="G35" i="8"/>
  <c r="D36" i="8"/>
  <c r="D43" i="8"/>
  <c r="E43" i="8"/>
  <c r="C44" i="8"/>
  <c r="C11" i="7"/>
  <c r="D40" i="6"/>
  <c r="D41" i="6"/>
  <c r="D46" i="6"/>
  <c r="D47" i="6"/>
  <c r="E19" i="11"/>
  <c r="F19" i="11"/>
  <c r="G19" i="11"/>
  <c r="H19" i="11"/>
  <c r="D37" i="9"/>
  <c r="E37" i="9"/>
  <c r="F37" i="9"/>
  <c r="G37" i="9"/>
  <c r="D40" i="9"/>
  <c r="E40" i="9"/>
  <c r="D43" i="9"/>
  <c r="E43" i="9"/>
  <c r="F43" i="9"/>
  <c r="F44" i="9"/>
  <c r="F49" i="10"/>
  <c r="D46" i="9"/>
  <c r="E46" i="9"/>
  <c r="D49" i="9"/>
  <c r="E49" i="9"/>
  <c r="F49" i="9"/>
  <c r="G49" i="9"/>
  <c r="D53" i="9"/>
  <c r="D56" i="9"/>
  <c r="D57" i="9"/>
  <c r="D77" i="10"/>
  <c r="D17" i="3"/>
  <c r="F19" i="4"/>
  <c r="H18" i="3"/>
  <c r="I19" i="4"/>
  <c r="C19" i="3"/>
  <c r="D21" i="3"/>
  <c r="D23" i="3"/>
  <c r="G23" i="4"/>
  <c r="G22" i="3"/>
  <c r="H23" i="4"/>
  <c r="C23" i="3"/>
  <c r="D25" i="3"/>
  <c r="F27" i="4"/>
  <c r="C27" i="3"/>
  <c r="D29" i="3"/>
  <c r="F31" i="4"/>
  <c r="G31" i="4"/>
  <c r="G33" i="4"/>
  <c r="C31" i="3"/>
  <c r="C33" i="3"/>
  <c r="H42" i="12"/>
  <c r="C46" i="12"/>
  <c r="C58" i="12"/>
  <c r="D58" i="12"/>
  <c r="E58" i="12"/>
  <c r="F58" i="12"/>
  <c r="C62" i="12"/>
  <c r="D64" i="12"/>
  <c r="D77" i="12"/>
  <c r="E64" i="12"/>
  <c r="E62" i="12"/>
  <c r="F64" i="12"/>
  <c r="F62" i="12"/>
  <c r="C67" i="12"/>
  <c r="D67" i="12"/>
  <c r="E67" i="12"/>
  <c r="F67" i="12"/>
  <c r="C76" i="12"/>
  <c r="C77" i="12"/>
  <c r="C78" i="12"/>
  <c r="D76" i="12"/>
  <c r="E76" i="12"/>
  <c r="F76" i="12"/>
  <c r="C82" i="12"/>
  <c r="C84" i="12"/>
  <c r="D82" i="12"/>
  <c r="E82" i="12"/>
  <c r="F82" i="12"/>
  <c r="F83" i="12"/>
  <c r="D20" i="5"/>
  <c r="H22" i="3"/>
  <c r="I23" i="4"/>
  <c r="I25" i="4"/>
  <c r="D47" i="9"/>
  <c r="D56" i="10"/>
  <c r="E46" i="6"/>
  <c r="D37" i="8"/>
  <c r="D25" i="10"/>
  <c r="D38" i="10"/>
  <c r="E86" i="10"/>
  <c r="C38" i="14"/>
  <c r="E77" i="12"/>
  <c r="E56" i="9"/>
  <c r="G43" i="9"/>
  <c r="G44" i="9"/>
  <c r="G49" i="10"/>
  <c r="F77" i="12"/>
  <c r="H24" i="4"/>
  <c r="H25" i="4"/>
  <c r="E47" i="9"/>
  <c r="E56" i="10"/>
  <c r="F46" i="9"/>
  <c r="D62" i="12"/>
  <c r="D31" i="3"/>
  <c r="D33" i="3"/>
  <c r="D27" i="3"/>
  <c r="G18" i="3"/>
  <c r="D41" i="9"/>
  <c r="D42" i="10"/>
  <c r="I28" i="4"/>
  <c r="G24" i="4"/>
  <c r="G25" i="4"/>
  <c r="C35" i="3"/>
  <c r="E29" i="8"/>
  <c r="H28" i="4"/>
  <c r="E19" i="4"/>
  <c r="E21" i="4"/>
  <c r="H26" i="3"/>
  <c r="H30" i="3"/>
  <c r="I31" i="4"/>
  <c r="G26" i="3"/>
  <c r="H27" i="4"/>
  <c r="E44" i="9"/>
  <c r="E49" i="10"/>
  <c r="G30" i="3"/>
  <c r="H31" i="4"/>
  <c r="H33" i="4"/>
  <c r="G27" i="4"/>
  <c r="D44" i="9"/>
  <c r="G86" i="10"/>
  <c r="D35" i="4"/>
  <c r="E27" i="4"/>
  <c r="E29" i="4"/>
  <c r="C20" i="14"/>
  <c r="D24" i="14"/>
  <c r="D75" i="12"/>
  <c r="D78" i="12"/>
  <c r="D80" i="10"/>
  <c r="D59" i="10"/>
  <c r="D52" i="10"/>
  <c r="D40" i="8"/>
  <c r="E18" i="11"/>
  <c r="C28" i="5"/>
  <c r="C24" i="5"/>
  <c r="D31" i="14"/>
  <c r="C66" i="12"/>
  <c r="C65" i="12"/>
  <c r="E26" i="13"/>
  <c r="D81" i="12"/>
  <c r="D84" i="12"/>
  <c r="F40" i="9"/>
  <c r="E41" i="9"/>
  <c r="E42" i="10"/>
  <c r="E53" i="9"/>
  <c r="D54" i="9"/>
  <c r="E40" i="6"/>
  <c r="C81" i="1"/>
  <c r="E42" i="8"/>
  <c r="F42" i="8"/>
  <c r="G42" i="8"/>
  <c r="D86" i="10"/>
  <c r="H84" i="1"/>
  <c r="H88" i="1"/>
  <c r="H74" i="1"/>
  <c r="E23" i="4"/>
  <c r="E25" i="4"/>
  <c r="F23" i="4"/>
  <c r="F25" i="4"/>
  <c r="C86" i="10"/>
  <c r="F32" i="4"/>
  <c r="F33" i="4"/>
  <c r="I32" i="4"/>
  <c r="D34" i="3"/>
  <c r="G29" i="4"/>
  <c r="D19" i="3"/>
  <c r="E31" i="4"/>
  <c r="E33" i="4"/>
  <c r="F29" i="4"/>
  <c r="D37" i="4"/>
  <c r="F20" i="4"/>
  <c r="F21" i="4"/>
  <c r="G20" i="4"/>
  <c r="I20" i="4"/>
  <c r="I21" i="4"/>
  <c r="C98" i="1"/>
  <c r="D73" i="10"/>
  <c r="D66" i="10"/>
  <c r="D45" i="10"/>
  <c r="D87" i="10"/>
  <c r="F46" i="6"/>
  <c r="E47" i="6"/>
  <c r="E57" i="9"/>
  <c r="F56" i="9"/>
  <c r="H29" i="4"/>
  <c r="F35" i="4"/>
  <c r="I27" i="4"/>
  <c r="I35" i="4"/>
  <c r="H34" i="3"/>
  <c r="H18" i="5"/>
  <c r="H21" i="5"/>
  <c r="D21" i="5"/>
  <c r="D36" i="4"/>
  <c r="G34" i="3"/>
  <c r="G18" i="5"/>
  <c r="G21" i="5"/>
  <c r="H19" i="4"/>
  <c r="F47" i="9"/>
  <c r="G46" i="9"/>
  <c r="G47" i="9"/>
  <c r="G56" i="10"/>
  <c r="D49" i="10"/>
  <c r="C44" i="9"/>
  <c r="C49" i="10"/>
  <c r="F36" i="8"/>
  <c r="F43" i="8"/>
  <c r="F29" i="8"/>
  <c r="I33" i="4"/>
  <c r="G20" i="5"/>
  <c r="G19" i="4"/>
  <c r="G35" i="4"/>
  <c r="F37" i="4"/>
  <c r="F38" i="4"/>
  <c r="E35" i="4"/>
  <c r="E31" i="14"/>
  <c r="E81" i="12"/>
  <c r="E84" i="12"/>
  <c r="D66" i="12"/>
  <c r="D65" i="12"/>
  <c r="F26" i="13"/>
  <c r="E37" i="4"/>
  <c r="D70" i="10"/>
  <c r="H89" i="1"/>
  <c r="H90" i="1"/>
  <c r="H91" i="1"/>
  <c r="G40" i="9"/>
  <c r="G41" i="9"/>
  <c r="G42" i="10"/>
  <c r="F41" i="9"/>
  <c r="F42" i="10"/>
  <c r="F18" i="11"/>
  <c r="E41" i="6"/>
  <c r="F40" i="6"/>
  <c r="E75" i="12"/>
  <c r="E78" i="12"/>
  <c r="E24" i="14"/>
  <c r="D18" i="5"/>
  <c r="D35" i="3"/>
  <c r="E40" i="8"/>
  <c r="D44" i="8"/>
  <c r="D17" i="14"/>
  <c r="F53" i="9"/>
  <c r="E54" i="9"/>
  <c r="E36" i="4"/>
  <c r="G56" i="9"/>
  <c r="G57" i="9"/>
  <c r="G77" i="10"/>
  <c r="F57" i="9"/>
  <c r="F77" i="10"/>
  <c r="I29" i="4"/>
  <c r="I37" i="4"/>
  <c r="I36" i="4"/>
  <c r="E77" i="10"/>
  <c r="C57" i="9"/>
  <c r="C77" i="10"/>
  <c r="G46" i="6"/>
  <c r="G47" i="6"/>
  <c r="F47" i="6"/>
  <c r="F36" i="4"/>
  <c r="H20" i="5"/>
  <c r="H28" i="5"/>
  <c r="G28" i="5"/>
  <c r="G36" i="8"/>
  <c r="G29" i="8"/>
  <c r="G43" i="8"/>
  <c r="D28" i="5"/>
  <c r="C22" i="6"/>
  <c r="C31" i="6"/>
  <c r="G21" i="4"/>
  <c r="G37" i="4"/>
  <c r="G36" i="4"/>
  <c r="F56" i="10"/>
  <c r="C47" i="9"/>
  <c r="C56" i="10"/>
  <c r="H35" i="4"/>
  <c r="H21" i="4"/>
  <c r="H37" i="4"/>
  <c r="H36" i="4"/>
  <c r="E70" i="10"/>
  <c r="F54" i="9"/>
  <c r="G53" i="9"/>
  <c r="G54" i="9"/>
  <c r="E66" i="12"/>
  <c r="E65" i="12"/>
  <c r="G26" i="13"/>
  <c r="F81" i="12"/>
  <c r="F84" i="12"/>
  <c r="F31" i="14"/>
  <c r="C41" i="9"/>
  <c r="C42" i="10"/>
  <c r="F40" i="8"/>
  <c r="G18" i="11"/>
  <c r="F75" i="12"/>
  <c r="F78" i="12"/>
  <c r="G24" i="14"/>
  <c r="F24" i="14"/>
  <c r="G40" i="6"/>
  <c r="G41" i="6"/>
  <c r="F41" i="6"/>
  <c r="G38" i="4"/>
  <c r="F39" i="4"/>
  <c r="D50" i="9"/>
  <c r="C54" i="9"/>
  <c r="C70" i="10"/>
  <c r="C20" i="7"/>
  <c r="C24" i="7"/>
  <c r="C29" i="7"/>
  <c r="F20" i="7"/>
  <c r="F22" i="6"/>
  <c r="G22" i="6"/>
  <c r="G20" i="7"/>
  <c r="G31" i="14"/>
  <c r="F66" i="12"/>
  <c r="F65" i="12"/>
  <c r="H26" i="13"/>
  <c r="D26" i="13"/>
  <c r="H18" i="11"/>
  <c r="D20" i="7"/>
  <c r="D22" i="6"/>
  <c r="G40" i="8"/>
  <c r="E20" i="7"/>
  <c r="E22" i="6"/>
  <c r="G70" i="10"/>
  <c r="H38" i="4"/>
  <c r="E50" i="9"/>
  <c r="E51" i="9"/>
  <c r="G39" i="4"/>
  <c r="F70" i="10"/>
  <c r="D51" i="9"/>
  <c r="E8" i="13"/>
  <c r="F40" i="4"/>
  <c r="C25" i="7"/>
  <c r="C30" i="7"/>
  <c r="C23" i="7"/>
  <c r="C28" i="7"/>
  <c r="G25" i="7"/>
  <c r="G30" i="7"/>
  <c r="G35" i="7"/>
  <c r="G22" i="9"/>
  <c r="G24" i="7"/>
  <c r="G29" i="7"/>
  <c r="G34" i="7"/>
  <c r="G21" i="9"/>
  <c r="G23" i="7"/>
  <c r="G28" i="7"/>
  <c r="G33" i="7"/>
  <c r="G20" i="9"/>
  <c r="G31" i="6"/>
  <c r="G32" i="6"/>
  <c r="G26" i="6"/>
  <c r="G27" i="6"/>
  <c r="F31" i="6"/>
  <c r="F32" i="6"/>
  <c r="G29" i="6"/>
  <c r="F26" i="6"/>
  <c r="F27" i="6"/>
  <c r="G24" i="6"/>
  <c r="F23" i="7"/>
  <c r="F28" i="7"/>
  <c r="F33" i="7"/>
  <c r="F20" i="9"/>
  <c r="F24" i="7"/>
  <c r="F29" i="7"/>
  <c r="F34" i="7"/>
  <c r="F21" i="9"/>
  <c r="F25" i="7"/>
  <c r="F30" i="7"/>
  <c r="F35" i="7"/>
  <c r="F22" i="9"/>
  <c r="G40" i="4"/>
  <c r="F8" i="13"/>
  <c r="E63" i="10"/>
  <c r="D63" i="10"/>
  <c r="I38" i="4"/>
  <c r="E38" i="4"/>
  <c r="E39" i="4"/>
  <c r="F50" i="9"/>
  <c r="H39" i="4"/>
  <c r="D21" i="8"/>
  <c r="D27" i="8"/>
  <c r="E31" i="6"/>
  <c r="E32" i="6"/>
  <c r="E26" i="6"/>
  <c r="E27" i="6"/>
  <c r="D31" i="6"/>
  <c r="D32" i="6"/>
  <c r="D26" i="6"/>
  <c r="E24" i="7"/>
  <c r="E29" i="7"/>
  <c r="E34" i="7"/>
  <c r="E21" i="9"/>
  <c r="E25" i="7"/>
  <c r="E30" i="7"/>
  <c r="E35" i="7"/>
  <c r="E22" i="9"/>
  <c r="E23" i="7"/>
  <c r="E28" i="7"/>
  <c r="E33" i="7"/>
  <c r="E20" i="9"/>
  <c r="D24" i="7"/>
  <c r="D29" i="7"/>
  <c r="D34" i="7"/>
  <c r="D21" i="9"/>
  <c r="D23" i="7"/>
  <c r="D28" i="7"/>
  <c r="D33" i="7"/>
  <c r="D20" i="9"/>
  <c r="D25" i="7"/>
  <c r="D30" i="7"/>
  <c r="D35" i="7"/>
  <c r="D22" i="9"/>
  <c r="F43" i="4"/>
  <c r="C18" i="12"/>
  <c r="F41" i="4"/>
  <c r="E11" i="13"/>
  <c r="F42" i="4"/>
  <c r="G30" i="6"/>
  <c r="G48" i="6"/>
  <c r="G25" i="6"/>
  <c r="G42" i="6"/>
  <c r="G58" i="6"/>
  <c r="F41" i="12"/>
  <c r="G43" i="6"/>
  <c r="G44" i="6"/>
  <c r="G32" i="9"/>
  <c r="G19" i="9"/>
  <c r="G36" i="9"/>
  <c r="G38" i="9"/>
  <c r="G35" i="10"/>
  <c r="F32" i="9"/>
  <c r="F19" i="9"/>
  <c r="F36" i="9"/>
  <c r="F38" i="9"/>
  <c r="F35" i="10"/>
  <c r="G49" i="6"/>
  <c r="G50" i="6"/>
  <c r="E32" i="9"/>
  <c r="E19" i="9"/>
  <c r="E36" i="9"/>
  <c r="E38" i="9"/>
  <c r="E21" i="8"/>
  <c r="E27" i="8"/>
  <c r="E9" i="13"/>
  <c r="E10" i="13"/>
  <c r="E12" i="13"/>
  <c r="F44" i="4"/>
  <c r="F29" i="6"/>
  <c r="F30" i="6"/>
  <c r="F48" i="6"/>
  <c r="C20" i="12"/>
  <c r="C19" i="12"/>
  <c r="C54" i="12"/>
  <c r="E34" i="8"/>
  <c r="D30" i="8"/>
  <c r="D16" i="14"/>
  <c r="D18" i="14"/>
  <c r="E40" i="4"/>
  <c r="D8" i="13"/>
  <c r="G8" i="13"/>
  <c r="H40" i="4"/>
  <c r="D27" i="6"/>
  <c r="C26" i="6"/>
  <c r="F51" i="9"/>
  <c r="G41" i="4"/>
  <c r="F11" i="13"/>
  <c r="G43" i="4"/>
  <c r="D18" i="12"/>
  <c r="D20" i="12"/>
  <c r="G42" i="4"/>
  <c r="D19" i="9"/>
  <c r="D36" i="9"/>
  <c r="D38" i="9"/>
  <c r="D32" i="9"/>
  <c r="E11" i="10"/>
  <c r="D30" i="6"/>
  <c r="E29" i="6"/>
  <c r="E30" i="6"/>
  <c r="E48" i="6"/>
  <c r="I39" i="4"/>
  <c r="G50" i="9"/>
  <c r="G51" i="9"/>
  <c r="F24" i="6"/>
  <c r="F25" i="6"/>
  <c r="F42" i="6"/>
  <c r="E9" i="10"/>
  <c r="E10" i="10"/>
  <c r="D36" i="10"/>
  <c r="G57" i="6"/>
  <c r="F27" i="12"/>
  <c r="C50" i="9"/>
  <c r="E49" i="6"/>
  <c r="E50" i="6"/>
  <c r="F27" i="8"/>
  <c r="E30" i="8"/>
  <c r="E16" i="14"/>
  <c r="F34" i="8"/>
  <c r="F37" i="8"/>
  <c r="F25" i="10"/>
  <c r="E11" i="14"/>
  <c r="E17" i="12"/>
  <c r="D48" i="6"/>
  <c r="C30" i="6"/>
  <c r="C32" i="6"/>
  <c r="H41" i="4"/>
  <c r="G11" i="13"/>
  <c r="H43" i="4"/>
  <c r="H42" i="4"/>
  <c r="E18" i="12"/>
  <c r="E20" i="12"/>
  <c r="F43" i="6"/>
  <c r="F44" i="6"/>
  <c r="F58" i="6"/>
  <c r="E15" i="10"/>
  <c r="E16" i="10"/>
  <c r="E13" i="10"/>
  <c r="E14" i="10"/>
  <c r="E12" i="10"/>
  <c r="E17" i="10"/>
  <c r="E41" i="8"/>
  <c r="E37" i="8"/>
  <c r="E25" i="10"/>
  <c r="G23" i="5"/>
  <c r="E36" i="10"/>
  <c r="F36" i="10"/>
  <c r="G36" i="10"/>
  <c r="F49" i="6"/>
  <c r="F50" i="6"/>
  <c r="F63" i="10"/>
  <c r="F59" i="9"/>
  <c r="C51" i="9"/>
  <c r="G63" i="10"/>
  <c r="G59" i="9"/>
  <c r="D25" i="6"/>
  <c r="E24" i="6"/>
  <c r="E25" i="6"/>
  <c r="E42" i="6"/>
  <c r="E43" i="4"/>
  <c r="E42" i="4"/>
  <c r="E41" i="4"/>
  <c r="D11" i="13"/>
  <c r="E35" i="10"/>
  <c r="E59" i="9"/>
  <c r="C38" i="9"/>
  <c r="C35" i="10"/>
  <c r="D35" i="10"/>
  <c r="D59" i="9"/>
  <c r="D17" i="12"/>
  <c r="D19" i="12"/>
  <c r="D54" i="12"/>
  <c r="D11" i="14"/>
  <c r="I40" i="4"/>
  <c r="H8" i="13"/>
  <c r="F9" i="13"/>
  <c r="F10" i="13"/>
  <c r="F12" i="13"/>
  <c r="G44" i="4"/>
  <c r="G59" i="6"/>
  <c r="C36" i="10"/>
  <c r="E18" i="10"/>
  <c r="F57" i="6"/>
  <c r="E27" i="12"/>
  <c r="E44" i="4"/>
  <c r="D9" i="13"/>
  <c r="D10" i="13"/>
  <c r="D12" i="13"/>
  <c r="F84" i="10"/>
  <c r="D78" i="10"/>
  <c r="G78" i="10"/>
  <c r="E78" i="10"/>
  <c r="F78" i="10"/>
  <c r="C78" i="10"/>
  <c r="D43" i="10"/>
  <c r="D46" i="10"/>
  <c r="E25" i="11"/>
  <c r="F43" i="10"/>
  <c r="G43" i="10"/>
  <c r="C43" i="10"/>
  <c r="E43" i="10"/>
  <c r="F11" i="14"/>
  <c r="F17" i="12"/>
  <c r="E19" i="12"/>
  <c r="E54" i="12"/>
  <c r="E43" i="6"/>
  <c r="E44" i="6"/>
  <c r="E57" i="6"/>
  <c r="D27" i="12"/>
  <c r="E58" i="6"/>
  <c r="G57" i="10"/>
  <c r="F57" i="10"/>
  <c r="D57" i="10"/>
  <c r="D60" i="10"/>
  <c r="E27" i="11"/>
  <c r="C57" i="10"/>
  <c r="E57" i="10"/>
  <c r="H44" i="4"/>
  <c r="G9" i="13"/>
  <c r="G10" i="13"/>
  <c r="G12" i="13"/>
  <c r="D39" i="10"/>
  <c r="D84" i="10"/>
  <c r="F52" i="10"/>
  <c r="F59" i="10"/>
  <c r="F80" i="10"/>
  <c r="F38" i="10"/>
  <c r="F39" i="10"/>
  <c r="F45" i="10"/>
  <c r="F66" i="10"/>
  <c r="F73" i="10"/>
  <c r="G24" i="5"/>
  <c r="H23" i="5"/>
  <c r="H24" i="5"/>
  <c r="I43" i="4"/>
  <c r="G27" i="14"/>
  <c r="I41" i="4"/>
  <c r="H11" i="13"/>
  <c r="I42" i="4"/>
  <c r="F18" i="12"/>
  <c r="F20" i="12"/>
  <c r="G11" i="14"/>
  <c r="G84" i="10"/>
  <c r="E59" i="10"/>
  <c r="E80" i="10"/>
  <c r="E45" i="10"/>
  <c r="E73" i="10"/>
  <c r="E38" i="10"/>
  <c r="E39" i="10"/>
  <c r="E66" i="10"/>
  <c r="E52" i="10"/>
  <c r="F64" i="10"/>
  <c r="D64" i="10"/>
  <c r="D67" i="10"/>
  <c r="E20" i="13"/>
  <c r="E64" i="10"/>
  <c r="G64" i="10"/>
  <c r="C64" i="10"/>
  <c r="F30" i="8"/>
  <c r="F16" i="14"/>
  <c r="G34" i="8"/>
  <c r="G37" i="8"/>
  <c r="G25" i="10"/>
  <c r="G27" i="8"/>
  <c r="G30" i="8"/>
  <c r="G16" i="14"/>
  <c r="C25" i="6"/>
  <c r="C27" i="6"/>
  <c r="D42" i="6"/>
  <c r="D50" i="10"/>
  <c r="D53" i="10"/>
  <c r="E26" i="11"/>
  <c r="F50" i="10"/>
  <c r="G50" i="10"/>
  <c r="E50" i="10"/>
  <c r="C50" i="10"/>
  <c r="E71" i="10"/>
  <c r="D71" i="10"/>
  <c r="D74" i="10"/>
  <c r="E21" i="13"/>
  <c r="F71" i="10"/>
  <c r="G71" i="10"/>
  <c r="C71" i="10"/>
  <c r="E84" i="10"/>
  <c r="C63" i="10"/>
  <c r="C59" i="9"/>
  <c r="F41" i="8"/>
  <c r="E44" i="8"/>
  <c r="E17" i="14"/>
  <c r="E18" i="14"/>
  <c r="F59" i="6"/>
  <c r="F27" i="14"/>
  <c r="E41" i="12"/>
  <c r="D49" i="6"/>
  <c r="C49" i="6"/>
  <c r="C48" i="6"/>
  <c r="D50" i="6"/>
  <c r="C50" i="6"/>
  <c r="F53" i="10"/>
  <c r="G26" i="11"/>
  <c r="F74" i="10"/>
  <c r="G21" i="13"/>
  <c r="F67" i="10"/>
  <c r="G20" i="13"/>
  <c r="E67" i="10"/>
  <c r="F20" i="13"/>
  <c r="E74" i="10"/>
  <c r="F21" i="13"/>
  <c r="E60" i="10"/>
  <c r="F27" i="11"/>
  <c r="G22" i="11"/>
  <c r="G73" i="10"/>
  <c r="G74" i="10"/>
  <c r="H21" i="13"/>
  <c r="G45" i="10"/>
  <c r="G38" i="10"/>
  <c r="G39" i="10"/>
  <c r="G59" i="10"/>
  <c r="G80" i="10"/>
  <c r="G52" i="10"/>
  <c r="G53" i="10"/>
  <c r="H26" i="11"/>
  <c r="G66" i="10"/>
  <c r="G67" i="10"/>
  <c r="H20" i="13"/>
  <c r="G60" i="10"/>
  <c r="H27" i="11"/>
  <c r="E46" i="10"/>
  <c r="F25" i="11"/>
  <c r="E85" i="10"/>
  <c r="E81" i="10"/>
  <c r="F22" i="13"/>
  <c r="E53" i="10"/>
  <c r="F26" i="11"/>
  <c r="E22" i="11"/>
  <c r="E29" i="11"/>
  <c r="C30" i="12"/>
  <c r="E14" i="13"/>
  <c r="C28" i="12"/>
  <c r="G85" i="10"/>
  <c r="G81" i="10"/>
  <c r="H22" i="13"/>
  <c r="G41" i="8"/>
  <c r="G44" i="8"/>
  <c r="G17" i="14"/>
  <c r="F44" i="8"/>
  <c r="F17" i="14"/>
  <c r="F18" i="14"/>
  <c r="I44" i="4"/>
  <c r="H9" i="13"/>
  <c r="H10" i="13"/>
  <c r="H12" i="13"/>
  <c r="G46" i="10"/>
  <c r="H25" i="11"/>
  <c r="D85" i="10"/>
  <c r="D88" i="10"/>
  <c r="C42" i="12"/>
  <c r="D81" i="10"/>
  <c r="E22" i="13"/>
  <c r="E19" i="13"/>
  <c r="E59" i="6"/>
  <c r="E27" i="14"/>
  <c r="D41" i="12"/>
  <c r="D43" i="6"/>
  <c r="C43" i="6"/>
  <c r="C42" i="6"/>
  <c r="C58" i="6"/>
  <c r="D58" i="6"/>
  <c r="E87" i="10"/>
  <c r="F87" i="10"/>
  <c r="F46" i="10"/>
  <c r="G25" i="11"/>
  <c r="F22" i="11"/>
  <c r="D23" i="5"/>
  <c r="D24" i="5"/>
  <c r="F19" i="12"/>
  <c r="F54" i="12"/>
  <c r="C85" i="10"/>
  <c r="C84" i="10"/>
  <c r="G18" i="14"/>
  <c r="C25" i="10"/>
  <c r="F60" i="10"/>
  <c r="G27" i="11"/>
  <c r="F85" i="10"/>
  <c r="F81" i="10"/>
  <c r="G22" i="13"/>
  <c r="F88" i="10"/>
  <c r="E42" i="12"/>
  <c r="E40" i="12"/>
  <c r="E44" i="12"/>
  <c r="F25" i="14"/>
  <c r="G19" i="13"/>
  <c r="F19" i="13"/>
  <c r="H19" i="13"/>
  <c r="E88" i="10"/>
  <c r="D42" i="12"/>
  <c r="D40" i="12"/>
  <c r="D44" i="12"/>
  <c r="F39" i="12"/>
  <c r="H22" i="11"/>
  <c r="H29" i="11"/>
  <c r="F30" i="12"/>
  <c r="H14" i="13"/>
  <c r="H16" i="13"/>
  <c r="F28" i="12"/>
  <c r="F26" i="12"/>
  <c r="D44" i="6"/>
  <c r="C73" i="10"/>
  <c r="C74" i="10"/>
  <c r="D21" i="13"/>
  <c r="C38" i="10"/>
  <c r="C39" i="10"/>
  <c r="C59" i="10"/>
  <c r="C60" i="10"/>
  <c r="C66" i="10"/>
  <c r="C67" i="10"/>
  <c r="D20" i="13"/>
  <c r="C45" i="10"/>
  <c r="C46" i="10"/>
  <c r="C52" i="10"/>
  <c r="C53" i="10"/>
  <c r="C80" i="10"/>
  <c r="E16" i="13"/>
  <c r="F29" i="11"/>
  <c r="D30" i="12"/>
  <c r="F14" i="13"/>
  <c r="F16" i="13"/>
  <c r="C41" i="12"/>
  <c r="C40" i="12"/>
  <c r="G87" i="10"/>
  <c r="G88" i="10"/>
  <c r="F42" i="12"/>
  <c r="F40" i="12"/>
  <c r="F44" i="12"/>
  <c r="G25" i="14"/>
  <c r="E28" i="12"/>
  <c r="E26" i="12"/>
  <c r="D28" i="12"/>
  <c r="D26" i="12"/>
  <c r="G29" i="11"/>
  <c r="E30" i="12"/>
  <c r="G14" i="13"/>
  <c r="G16" i="13"/>
  <c r="H17" i="13"/>
  <c r="H24" i="13"/>
  <c r="H28" i="13"/>
  <c r="G17" i="13"/>
  <c r="G24" i="13"/>
  <c r="G28" i="13"/>
  <c r="E25" i="14"/>
  <c r="E39" i="12"/>
  <c r="E43" i="12"/>
  <c r="E24" i="13"/>
  <c r="E28" i="13"/>
  <c r="E17" i="13"/>
  <c r="D14" i="13"/>
  <c r="D16" i="13"/>
  <c r="D57" i="6"/>
  <c r="C44" i="6"/>
  <c r="C57" i="6"/>
  <c r="C59" i="6"/>
  <c r="F24" i="13"/>
  <c r="F28" i="13"/>
  <c r="F17" i="13"/>
  <c r="F43" i="12"/>
  <c r="C87" i="10"/>
  <c r="C88" i="10"/>
  <c r="C81" i="10"/>
  <c r="D22" i="13"/>
  <c r="D19" i="13"/>
  <c r="C44" i="12"/>
  <c r="E29" i="13"/>
  <c r="D26" i="14"/>
  <c r="D25" i="14"/>
  <c r="D39" i="12"/>
  <c r="D43" i="12"/>
  <c r="C43" i="12"/>
  <c r="C55" i="12"/>
  <c r="C56" i="12"/>
  <c r="C69" i="12"/>
  <c r="F29" i="13"/>
  <c r="E26" i="14"/>
  <c r="E46" i="12"/>
  <c r="E55" i="12"/>
  <c r="G29" i="13"/>
  <c r="F26" i="14"/>
  <c r="C27" i="12"/>
  <c r="C26" i="12"/>
  <c r="C32" i="12"/>
  <c r="D59" i="6"/>
  <c r="D27" i="14"/>
  <c r="D17" i="13"/>
  <c r="D24" i="13"/>
  <c r="D28" i="13"/>
  <c r="H29" i="13"/>
  <c r="G26" i="14"/>
  <c r="G29" i="14"/>
  <c r="G30" i="13"/>
  <c r="G31" i="13"/>
  <c r="F30" i="13"/>
  <c r="F31" i="13"/>
  <c r="D10" i="14"/>
  <c r="D53" i="12"/>
  <c r="D29" i="13"/>
  <c r="D30" i="13"/>
  <c r="D31" i="13"/>
  <c r="D12" i="14"/>
  <c r="C34" i="12"/>
  <c r="D25" i="12"/>
  <c r="D32" i="12"/>
  <c r="D29" i="14"/>
  <c r="D46" i="12"/>
  <c r="D55" i="12"/>
  <c r="E29" i="14"/>
  <c r="F46" i="12"/>
  <c r="F55" i="12"/>
  <c r="F29" i="14"/>
  <c r="E30" i="13"/>
  <c r="H30" i="13"/>
  <c r="H31" i="13"/>
  <c r="D14" i="14"/>
  <c r="D20" i="14"/>
  <c r="E12" i="14"/>
  <c r="E25" i="12"/>
  <c r="E32" i="12"/>
  <c r="D34" i="12"/>
  <c r="D34" i="14"/>
  <c r="E34" i="14"/>
  <c r="F34" i="14"/>
  <c r="G34" i="14"/>
  <c r="E31" i="13"/>
  <c r="D56" i="12"/>
  <c r="D69" i="12"/>
  <c r="E34" i="12"/>
  <c r="F12" i="14"/>
  <c r="F25" i="12"/>
  <c r="F32" i="12"/>
  <c r="E10" i="14"/>
  <c r="E14" i="14"/>
  <c r="E20" i="14"/>
  <c r="E33" i="14"/>
  <c r="E36" i="14"/>
  <c r="E38" i="14"/>
  <c r="E53" i="12"/>
  <c r="E56" i="12"/>
  <c r="E69" i="12"/>
  <c r="D33" i="14"/>
  <c r="D36" i="14"/>
  <c r="D38" i="14"/>
  <c r="G12" i="14"/>
  <c r="F34" i="12"/>
  <c r="F10" i="14"/>
  <c r="F14" i="14"/>
  <c r="F20" i="14"/>
  <c r="F33" i="14"/>
  <c r="F36" i="14"/>
  <c r="F38" i="14"/>
  <c r="F53" i="12"/>
  <c r="F56" i="12"/>
  <c r="F69" i="12"/>
  <c r="G10" i="14"/>
  <c r="G14" i="14"/>
  <c r="G20" i="14"/>
  <c r="G33" i="14"/>
  <c r="G36" i="14"/>
  <c r="G38" i="14"/>
</calcChain>
</file>

<file path=xl/sharedStrings.xml><?xml version="1.0" encoding="utf-8"?>
<sst xmlns="http://schemas.openxmlformats.org/spreadsheetml/2006/main" count="681" uniqueCount="350">
  <si>
    <t xml:space="preserve"> </t>
  </si>
  <si>
    <t>Norte</t>
  </si>
  <si>
    <t>Sul</t>
  </si>
  <si>
    <t>Leste</t>
  </si>
  <si>
    <t>Oeste</t>
  </si>
  <si>
    <t>aumento do mercado</t>
  </si>
  <si>
    <t>aumento da empresa</t>
  </si>
  <si>
    <t>ano 0</t>
  </si>
  <si>
    <t>ano 1</t>
  </si>
  <si>
    <t>mercado</t>
  </si>
  <si>
    <t>na</t>
  </si>
  <si>
    <t>empresa</t>
  </si>
  <si>
    <t>% participacao</t>
  </si>
  <si>
    <t xml:space="preserve">Total </t>
  </si>
  <si>
    <t xml:space="preserve">mercado </t>
  </si>
  <si>
    <t>Total</t>
  </si>
  <si>
    <t>dias de estoque prod. acabados</t>
  </si>
  <si>
    <t>PLANO DE PRODUÇÃO</t>
  </si>
  <si>
    <t>vendas previstas</t>
  </si>
  <si>
    <t>capacidade inicial</t>
  </si>
  <si>
    <t>aumento da capacidade</t>
  </si>
  <si>
    <t>compra de terceiros</t>
  </si>
  <si>
    <t>investimento necessário</t>
  </si>
  <si>
    <t>investimento da capacidade por unidade $</t>
  </si>
  <si>
    <t>tecido</t>
  </si>
  <si>
    <t>pena</t>
  </si>
  <si>
    <t>tecidos</t>
  </si>
  <si>
    <t>saldo inicial</t>
  </si>
  <si>
    <t>(+) compras</t>
  </si>
  <si>
    <t>produção necessária</t>
  </si>
  <si>
    <t>(-) utilização</t>
  </si>
  <si>
    <t>penas</t>
  </si>
  <si>
    <t>(=) saldo final</t>
  </si>
  <si>
    <t>% ICMS</t>
  </si>
  <si>
    <t>% tx juros ao mês</t>
  </si>
  <si>
    <t>prazo de pgto em dias</t>
  </si>
  <si>
    <t>% var. preço ao trimestre</t>
  </si>
  <si>
    <t>preço unit a vista c/ ICMS</t>
  </si>
  <si>
    <t>compra c/ICMS a prazo</t>
  </si>
  <si>
    <t>compra s/ICMS a prazo</t>
  </si>
  <si>
    <t>horas produtivas s/ hs trabalhadas</t>
  </si>
  <si>
    <t>horas/dia/funcionário</t>
  </si>
  <si>
    <t>número dias por trimestre</t>
  </si>
  <si>
    <t>horas/trimestre</t>
  </si>
  <si>
    <t>ORÇAMENTO DE MÃO DE OBRA</t>
  </si>
  <si>
    <t>necessidade de hs produtivas/unidade:</t>
  </si>
  <si>
    <t>corte</t>
  </si>
  <si>
    <t>costura</t>
  </si>
  <si>
    <t>acabamento</t>
  </si>
  <si>
    <t>% depreciação por trimestre</t>
  </si>
  <si>
    <t>edifícios</t>
  </si>
  <si>
    <t>móveis</t>
  </si>
  <si>
    <t>PLANO DE INVESTIMENTOS</t>
  </si>
  <si>
    <t>Investimentos do período:</t>
  </si>
  <si>
    <t>saldo inicial de custo</t>
  </si>
  <si>
    <t>depreciação do período</t>
  </si>
  <si>
    <t>saldo inicial depreciação acumulada</t>
  </si>
  <si>
    <t>sem previsão aumento de funcionários</t>
  </si>
  <si>
    <t>% encargos s/ salário</t>
  </si>
  <si>
    <t xml:space="preserve">  corte</t>
  </si>
  <si>
    <t xml:space="preserve">  costura</t>
  </si>
  <si>
    <t xml:space="preserve">  acabamento</t>
  </si>
  <si>
    <t>Supervisores</t>
  </si>
  <si>
    <t>Engenharia</t>
  </si>
  <si>
    <t>Logística</t>
  </si>
  <si>
    <t>Vendas</t>
  </si>
  <si>
    <t>Marketing</t>
  </si>
  <si>
    <t>Adm.Finanças</t>
  </si>
  <si>
    <t>Total geral</t>
  </si>
  <si>
    <t>número funcionários mão obra direta</t>
  </si>
  <si>
    <t>salário médio</t>
  </si>
  <si>
    <t>total salários e encargos</t>
  </si>
  <si>
    <t>% comissão s/ receita</t>
  </si>
  <si>
    <t xml:space="preserve">  engenharia</t>
  </si>
  <si>
    <t xml:space="preserve">  logísitca</t>
  </si>
  <si>
    <t xml:space="preserve">  vendas</t>
  </si>
  <si>
    <t xml:space="preserve">  marketing</t>
  </si>
  <si>
    <t xml:space="preserve">  adm.finanças</t>
  </si>
  <si>
    <t>depreciação</t>
  </si>
  <si>
    <t>manutenção</t>
  </si>
  <si>
    <t>transporte</t>
  </si>
  <si>
    <t xml:space="preserve">  supervisão</t>
  </si>
  <si>
    <t xml:space="preserve">DEMONSTRAÇÃO DE GASTOS DEPARTAMENTAIS </t>
  </si>
  <si>
    <t xml:space="preserve">  Total</t>
  </si>
  <si>
    <t>Corte + Costura + Acabamento</t>
  </si>
  <si>
    <t>Supervisão</t>
  </si>
  <si>
    <t>Adm Finanças</t>
  </si>
  <si>
    <t xml:space="preserve">  </t>
  </si>
  <si>
    <t>CUSTO DO PRODUTO POR UNIDADE</t>
  </si>
  <si>
    <t xml:space="preserve">  corte + costura + acabamento</t>
  </si>
  <si>
    <t>Total custo do produto</t>
  </si>
  <si>
    <t>% PIS/COFINS</t>
  </si>
  <si>
    <t>% tx juros a 30 dias</t>
  </si>
  <si>
    <t>CONTAS A RECEBER</t>
  </si>
  <si>
    <t>prazo de faturamento dias</t>
  </si>
  <si>
    <t>dias de recebimento</t>
  </si>
  <si>
    <t>(+) faturamento</t>
  </si>
  <si>
    <t>(-) cobrança</t>
  </si>
  <si>
    <t>ESTOQUES</t>
  </si>
  <si>
    <t>RESUMO DAS COMPRAS</t>
  </si>
  <si>
    <t>custo prod. vendidos= volume vendas X custo produto</t>
  </si>
  <si>
    <t>(+) entradas:</t>
  </si>
  <si>
    <t xml:space="preserve">  compras de MP s/ ICMS a prazo</t>
  </si>
  <si>
    <t>dias de estoque</t>
  </si>
  <si>
    <t>CONTAS A PAGAR</t>
  </si>
  <si>
    <t>dias de contas a pagar</t>
  </si>
  <si>
    <t>(+) entradas/compras</t>
  </si>
  <si>
    <t xml:space="preserve">  compras de MP c/ ICMS a prazo</t>
  </si>
  <si>
    <t>(-) pagamentos</t>
  </si>
  <si>
    <t>FLUXO DE CAIXA FINANCEIRO</t>
  </si>
  <si>
    <t>(+) cobrança</t>
  </si>
  <si>
    <t>(=) sobra (deficit) de caixa</t>
  </si>
  <si>
    <t>(+) captação de empréstimos</t>
  </si>
  <si>
    <t xml:space="preserve">  longo prazo</t>
  </si>
  <si>
    <t xml:space="preserve">  curto prazo</t>
  </si>
  <si>
    <t>(-) pagamento de empréstimo</t>
  </si>
  <si>
    <t>(=) saldo final caixa</t>
  </si>
  <si>
    <t>JUROS DE EMPRÉSTIMOS</t>
  </si>
  <si>
    <t>pagos no final do próprio trimestre</t>
  </si>
  <si>
    <t>curto prazo</t>
  </si>
  <si>
    <t>longo prazo</t>
  </si>
  <si>
    <t>EMPRÉSTIMOS</t>
  </si>
  <si>
    <t>CURTO PRAZO</t>
  </si>
  <si>
    <t>(+) captação</t>
  </si>
  <si>
    <t>LONGO PRAZO</t>
  </si>
  <si>
    <t>DEMONSTRATIVO DE RESULTADO PROJETADO</t>
  </si>
  <si>
    <t>Faturamento bruto a vista</t>
  </si>
  <si>
    <t>(-) impostos</t>
  </si>
  <si>
    <t>(+) juros</t>
  </si>
  <si>
    <t>(=) Faturamento a prazo</t>
  </si>
  <si>
    <t>(-) Custo dos produtos vendidos</t>
  </si>
  <si>
    <t>(=) Margem bruta</t>
  </si>
  <si>
    <t>% s/ faturamento a prazo</t>
  </si>
  <si>
    <t>(-) Despesas operacionais</t>
  </si>
  <si>
    <t xml:space="preserve">  adm. finanças</t>
  </si>
  <si>
    <t>(=) Resultado operacional</t>
  </si>
  <si>
    <t>(-) despesas c/ juros</t>
  </si>
  <si>
    <t>(=) Resultado antes do IR</t>
  </si>
  <si>
    <t>(=) Resultado liquido</t>
  </si>
  <si>
    <t>% s/ faturamento</t>
  </si>
  <si>
    <t>juros pelo prazo de faturamento</t>
  </si>
  <si>
    <t xml:space="preserve">(-) provisão IR </t>
  </si>
  <si>
    <t>ATIVO</t>
  </si>
  <si>
    <t>caixa e bancos</t>
  </si>
  <si>
    <t>contas a receber</t>
  </si>
  <si>
    <t>estoques</t>
  </si>
  <si>
    <t>Total circulante</t>
  </si>
  <si>
    <t>ativo imobilizado</t>
  </si>
  <si>
    <t>depreciação acumulada</t>
  </si>
  <si>
    <t>ativo imobilizado líquido</t>
  </si>
  <si>
    <t>Total do ativo</t>
  </si>
  <si>
    <t>PASSIVO</t>
  </si>
  <si>
    <t>empréstimos</t>
  </si>
  <si>
    <t>contas a pagar</t>
  </si>
  <si>
    <t>provisão p/ IR</t>
  </si>
  <si>
    <t>empréstimo de LP</t>
  </si>
  <si>
    <t>capital</t>
  </si>
  <si>
    <t>lucros acumulados</t>
  </si>
  <si>
    <t>reservas</t>
  </si>
  <si>
    <t>Total do passivo</t>
  </si>
  <si>
    <t>ICMS a pagar</t>
  </si>
  <si>
    <t>ICMS</t>
  </si>
  <si>
    <t>(-) pagamentos + pgto ICMS/IR</t>
  </si>
  <si>
    <t>PREMISSAS MACROECONÔMICAS</t>
  </si>
  <si>
    <t>% var. PIB</t>
  </si>
  <si>
    <t>% inflação</t>
  </si>
  <si>
    <t>% var. salários</t>
  </si>
  <si>
    <t>% mérito/promoções</t>
  </si>
  <si>
    <t>$ var. matérias primas</t>
  </si>
  <si>
    <t>% var. outros gastos</t>
  </si>
  <si>
    <t>% juros aplicação</t>
  </si>
  <si>
    <t>unidades</t>
  </si>
  <si>
    <t>ano -2</t>
  </si>
  <si>
    <t>ano -1</t>
  </si>
  <si>
    <t>vendas</t>
  </si>
  <si>
    <t>potencial</t>
  </si>
  <si>
    <t>% crescimento</t>
  </si>
  <si>
    <t>% penetração</t>
  </si>
  <si>
    <t>Outros dados obtidos por meio de pesquisa são:</t>
  </si>
  <si>
    <t>preço médio</t>
  </si>
  <si>
    <t>% mg bruta</t>
  </si>
  <si>
    <t>%lucro liq/rec</t>
  </si>
  <si>
    <t>Demonstrativo Resultado ano base</t>
  </si>
  <si>
    <t>PLANO FINANCEIRO</t>
  </si>
  <si>
    <t>PLANO DE VENDAS</t>
  </si>
  <si>
    <t>Região</t>
  </si>
  <si>
    <t>FATURAMENTO</t>
  </si>
  <si>
    <t>MATÉRIA PRIMA</t>
  </si>
  <si>
    <t>INVESTIMENTO</t>
  </si>
  <si>
    <t>GASTOS OPERACIONAIS</t>
  </si>
  <si>
    <t>Notas:</t>
  </si>
  <si>
    <t>3- calcular o aumento da capacidade necessária = capacidade inicial - produção proposta</t>
  </si>
  <si>
    <t>(=) saldo final (1)</t>
  </si>
  <si>
    <t>preço unit a prazo c/ ICMS (2)</t>
  </si>
  <si>
    <t>valor do ICMS (3)</t>
  </si>
  <si>
    <t>comissões (1)</t>
  </si>
  <si>
    <t>notas:</t>
  </si>
  <si>
    <t>1- calcular a porcentagem de numero de funcionários por departamento</t>
  </si>
  <si>
    <t>nos devidos departamentos</t>
  </si>
  <si>
    <t xml:space="preserve">2- multiplicar os porcentuais de transporte, manutenção e depreciação pelos seus respectivos valores totais para calcular esses itens </t>
  </si>
  <si>
    <t>(=) saldo final 22 dias (4)</t>
  </si>
  <si>
    <t>pagamentos de IR/ICMS (5)</t>
  </si>
  <si>
    <t>(5) pagamento no trimestre seguinte ao da apuração</t>
  </si>
  <si>
    <t>(-) pagamento de juros (6)</t>
  </si>
  <si>
    <t>1- calcular o saldo final com base nos dias de estoque da produção do proprio trimestre</t>
  </si>
  <si>
    <t>PIS/Cofins</t>
  </si>
  <si>
    <t>(3) somar todos os gastos operacionais da empresa deduzindo gastos c/ depreciação + gastos c/ investimento + PIS/Cofins</t>
  </si>
  <si>
    <t>Ano 1</t>
  </si>
  <si>
    <t>Caixa e bancos</t>
  </si>
  <si>
    <t>Contas a receber</t>
  </si>
  <si>
    <t>Estoques</t>
  </si>
  <si>
    <t>Ativo imobilizado</t>
  </si>
  <si>
    <t>Depreciação acumulada</t>
  </si>
  <si>
    <t>Ativo imobilizado líquido</t>
  </si>
  <si>
    <t xml:space="preserve">Ano 0 </t>
  </si>
  <si>
    <t>Empréstimos</t>
  </si>
  <si>
    <t>Contas a pagar</t>
  </si>
  <si>
    <t>Provisão p/ IR</t>
  </si>
  <si>
    <t>Empréstimo de LP</t>
  </si>
  <si>
    <t>Capital</t>
  </si>
  <si>
    <t>Lucros acumulados</t>
  </si>
  <si>
    <t>Reservas</t>
  </si>
  <si>
    <t>Planilha de Planejamento Financeiro</t>
  </si>
  <si>
    <t>% participação</t>
  </si>
  <si>
    <t>PLANO DE RH</t>
  </si>
  <si>
    <t>CUSTO DO PRODUTO</t>
  </si>
  <si>
    <t>BALANÇO</t>
  </si>
  <si>
    <t>capacidade instalada un.</t>
  </si>
  <si>
    <t>Balanço Patrimonial ano base</t>
  </si>
  <si>
    <t>PREMISSAS ADOTADAS</t>
  </si>
  <si>
    <t>variação de preço %</t>
  </si>
  <si>
    <t>PREMISSAS</t>
  </si>
  <si>
    <t xml:space="preserve">pena </t>
  </si>
  <si>
    <t>terrenos</t>
  </si>
  <si>
    <t>Mão de obra direta:</t>
  </si>
  <si>
    <t>Número funcionários</t>
  </si>
  <si>
    <t>salários encargos</t>
  </si>
  <si>
    <t/>
  </si>
  <si>
    <t>supervisão</t>
  </si>
  <si>
    <t>engenharia</t>
  </si>
  <si>
    <t>logística</t>
  </si>
  <si>
    <t>Descrição</t>
  </si>
  <si>
    <t>% de reajuste 1º trim</t>
  </si>
  <si>
    <t xml:space="preserve">                     3º trim</t>
  </si>
  <si>
    <t>Departamentos</t>
  </si>
  <si>
    <t>A concorrência existente no mercado nacional se dá da seguinte forma: (% participação das empresas)</t>
  </si>
  <si>
    <t>(=) Faturamento líquido à vista</t>
  </si>
  <si>
    <t>(=) Faturamento à prazo</t>
  </si>
  <si>
    <t>% sem faturamento à prazo</t>
  </si>
  <si>
    <t>% sem faturamento</t>
  </si>
  <si>
    <t>(=) Resultado líquido</t>
  </si>
  <si>
    <t>Total Patrimônio Líquido</t>
  </si>
  <si>
    <t>% juros empréstimo CP</t>
  </si>
  <si>
    <t>% juros empréstimo LP</t>
  </si>
  <si>
    <t>DISTRIBUIÇÃO DE VENDAS POR REGIÃO (volume de vendas distribuídas uniforme por trimestre)</t>
  </si>
  <si>
    <t>Quantidade</t>
  </si>
  <si>
    <t>preço unitário $</t>
  </si>
  <si>
    <t xml:space="preserve">faturamento líquido à vista </t>
  </si>
  <si>
    <t>fatur. bruto à vista a preço corrente (3)</t>
  </si>
  <si>
    <t>fatur. líquido à vista a preço corrente (2)</t>
  </si>
  <si>
    <t>fatur. bruto à prazo a preço corrente (1)</t>
  </si>
  <si>
    <t>impostos sem faturamento</t>
  </si>
  <si>
    <t>saldo inicial produtos acabados</t>
  </si>
  <si>
    <t>saldo final produtos acabados</t>
  </si>
  <si>
    <t xml:space="preserve">produção própria </t>
  </si>
  <si>
    <t>4º trim.</t>
  </si>
  <si>
    <t>3º trim.</t>
  </si>
  <si>
    <t>2º trim.</t>
  </si>
  <si>
    <t>1º trim.</t>
  </si>
  <si>
    <t>1- calcular o saldo final com base nos dias de estoque (35 dias) das vendas do próprio trimestre</t>
  </si>
  <si>
    <t>2- em seguida, calcular a produção necessária. (você já tem saldo inicial, saldo final e vendas)</t>
  </si>
  <si>
    <t>4- finalize com o investimento necessário = aumento da capacidade x investimento da capacidade por unidade $</t>
  </si>
  <si>
    <t>(1) deve ser acrescido a taxa de juros ao faturamento bruto à vista</t>
  </si>
  <si>
    <t>(2) deve ser acrescido a taxa de inflação ao faturamento líquido à vista</t>
  </si>
  <si>
    <t>(3) calcular os impostos por "dentro" em relação ao faturamento líquido à vista</t>
  </si>
  <si>
    <t>tecidos - metro por unidade produzida</t>
  </si>
  <si>
    <t>penas - quilo por unidade produzida</t>
  </si>
  <si>
    <t>dias de estoque - dias em relação à utilização</t>
  </si>
  <si>
    <t>preço unit. c/ICMS - ano 0:</t>
  </si>
  <si>
    <t>MOVIMENTAÇÃO DE MATÉRIA-PRIMA</t>
  </si>
  <si>
    <t>fatores de consumo matéria-prima</t>
  </si>
  <si>
    <t>preço unitário à vista com ICMS</t>
  </si>
  <si>
    <t>preço unitário a prazo com ICMS (2)</t>
  </si>
  <si>
    <t>compra com ICMS a prazo</t>
  </si>
  <si>
    <t>compra sem ICMS a prazo</t>
  </si>
  <si>
    <t>2- acrescente a taxa de juros sobre o preço unitário à vista</t>
  </si>
  <si>
    <t>3- calcular o valor do ICMS embutido no valor da compra com ICMS a prazo</t>
  </si>
  <si>
    <t>Descrição em unidades</t>
  </si>
  <si>
    <t>Produção necessária</t>
  </si>
  <si>
    <t>Necessidade horas produtivas</t>
  </si>
  <si>
    <t>Necessidade horas trabalhadas</t>
  </si>
  <si>
    <t>Necessidade de funcionários</t>
  </si>
  <si>
    <r>
      <rPr>
        <b/>
        <sz val="8"/>
        <color rgb="FF385A7B"/>
        <rFont val="Arial"/>
        <family val="2"/>
      </rPr>
      <t>nota:</t>
    </r>
    <r>
      <rPr>
        <sz val="8"/>
        <color rgb="FF385A7B"/>
        <rFont val="Arial"/>
        <family val="2"/>
      </rPr>
      <t xml:space="preserve"> não arredonde o cálculo da necessidade de funcionários</t>
    </r>
  </si>
  <si>
    <t>máquinas e equipamentos</t>
  </si>
  <si>
    <t>equipamentos de informática</t>
  </si>
  <si>
    <t>Descrição (R$)</t>
  </si>
  <si>
    <t xml:space="preserve">COMPRA DE MATÉRIA-PRIMA </t>
  </si>
  <si>
    <t>PLANO DE FATURAMENTO (R$)</t>
  </si>
  <si>
    <t>Base/Total</t>
  </si>
  <si>
    <t xml:space="preserve">PROJEÇÃO DE SALÁRIOS </t>
  </si>
  <si>
    <t>Valor de salários (R$)</t>
  </si>
  <si>
    <t>salário médio - engenharia</t>
  </si>
  <si>
    <t>salário médio - supervisores</t>
  </si>
  <si>
    <t>salário médio - logística</t>
  </si>
  <si>
    <t>salário médio - vendas</t>
  </si>
  <si>
    <t>salário médio - marketing</t>
  </si>
  <si>
    <t>salário médio - administrativo-financeiro</t>
  </si>
  <si>
    <t>Total salários e encargos</t>
  </si>
  <si>
    <t>(1) calcular sobre o faturamento líquido à vista a preço corrente</t>
  </si>
  <si>
    <t>PERCENTUAIS DE ALOCAÇÃO DE DESPESAS POR DEPARTAMENTO</t>
  </si>
  <si>
    <t>Projeção de gastos em R$</t>
  </si>
  <si>
    <t>Descrição em R$</t>
  </si>
  <si>
    <t>Área</t>
  </si>
  <si>
    <t>Horas</t>
  </si>
  <si>
    <t>Funcionários</t>
  </si>
  <si>
    <t>Depreciação</t>
  </si>
  <si>
    <t>Manutenção</t>
  </si>
  <si>
    <t>Transporte</t>
  </si>
  <si>
    <t xml:space="preserve">Nota: O gasto com tranporte deve ser calculado de acordo com o número de funcionários. </t>
  </si>
  <si>
    <t>Matéria-prima: fator de consumo aplicado ao preço a prazo sem ICMS de cada insumo.</t>
  </si>
  <si>
    <t>Mão de obra: gastos referente aos departamento diretos, dividido pelo volume de produção em unidades.</t>
  </si>
  <si>
    <t>Gastos indiretos de fabricação: gasto dividido pelo volume de produção em unidades.</t>
  </si>
  <si>
    <t>Fator de consumo</t>
  </si>
  <si>
    <t>Matéria-prima</t>
  </si>
  <si>
    <t>Mão de obra</t>
  </si>
  <si>
    <t>Gastos indiretos de fabricação</t>
  </si>
  <si>
    <t>Saldo inicial R$</t>
  </si>
  <si>
    <t>(1) calcular o saldo final com base no dias de recebimento sobre o faturamento do próprio trimestre</t>
  </si>
  <si>
    <t>(2) somar gastos da supervisão + logística + engenharia + centros produtivos</t>
  </si>
  <si>
    <t xml:space="preserve">  gastos operac.+ invest. + PIS/Cofins (3)</t>
  </si>
  <si>
    <t>(4) calcular o saldo final com base nos dias sobre as compras do próprio trimestre</t>
  </si>
  <si>
    <t xml:space="preserve">  gastos operacionais (2)</t>
  </si>
  <si>
    <t>(-) custo de produtos vendidos</t>
  </si>
  <si>
    <t xml:space="preserve">Saldo inicial caixa </t>
  </si>
  <si>
    <t>(6) pagamento de juros é calculado sobre o saldo final do próprio trimestre</t>
  </si>
  <si>
    <t>a- empréstimo de curto prazo captado no trimestre deve ser obrigatoriamente pago no trimestre seguinte</t>
  </si>
  <si>
    <t>c- saldo final de caixa próximo de zero pois não é remunerado</t>
  </si>
  <si>
    <t>b- o truque aqui é calcular o mix adequado de curto e longo prazo a captar de empréstimo de modo a ter o menor custo de juros</t>
  </si>
  <si>
    <t>d- o custo de empréstimo de curto prazo é mais caro que o de longo prazo</t>
  </si>
  <si>
    <t>e- juros é competência e caixa no mesmo trimestre</t>
  </si>
  <si>
    <t>Saldo inicial</t>
  </si>
  <si>
    <t>(-) Despesas c/ juros</t>
  </si>
  <si>
    <t xml:space="preserve">  administrativo-financeiro</t>
  </si>
  <si>
    <t>Total patrimônio líquido</t>
  </si>
  <si>
    <t>Concorrente 1</t>
  </si>
  <si>
    <t>Concorrente 2</t>
  </si>
  <si>
    <t>Concorrente 3</t>
  </si>
  <si>
    <t>Concorrente 4</t>
  </si>
  <si>
    <t>Concorrente 5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</si>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</sst>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8"/>
      <color rgb="FF2687E9"/>
      <name val="Arial"/>
      <family val="2"/>
    </font>
    <font>
      <sz val="14"/>
      <color rgb="FF385A7B"/>
      <name val="Arial"/>
      <family val="2"/>
    </font>
    <font>
      <sz val="10"/>
      <color rgb="FF385A7B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385A7B"/>
      <name val="Arial"/>
      <family val="2"/>
    </font>
    <font>
      <sz val="9"/>
      <color rgb="FF385A7B"/>
      <name val="Arial"/>
      <family val="2"/>
    </font>
    <font>
      <sz val="8"/>
      <color rgb="FF385A7B"/>
      <name val="Arial"/>
      <family val="2"/>
    </font>
    <font>
      <b/>
      <sz val="14"/>
      <color rgb="FF385A7B"/>
      <name val="Arial"/>
      <family val="2"/>
    </font>
    <font>
      <b/>
      <sz val="9"/>
      <color rgb="FF385A7B"/>
      <name val="Arial"/>
      <family val="2"/>
    </font>
    <font>
      <b/>
      <sz val="8"/>
      <color rgb="FF385A7B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385A7B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rgb="FFD8E9FB"/>
        <bgColor indexed="64"/>
      </patternFill>
    </fill>
    <fill>
      <patternFill patternType="solid">
        <fgColor rgb="FFC6E2A1"/>
        <bgColor indexed="64"/>
      </patternFill>
    </fill>
    <fill>
      <patternFill patternType="solid">
        <fgColor rgb="FFF2D899"/>
        <bgColor indexed="64"/>
      </patternFill>
    </fill>
    <fill>
      <patternFill patternType="solid">
        <fgColor rgb="FFF6C39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4983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4983BB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167" fontId="4" fillId="0" borderId="0" xfId="2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0" fontId="4" fillId="6" borderId="0" xfId="0" applyFont="1" applyFill="1" applyAlignment="1">
      <alignment vertical="center"/>
    </xf>
    <xf numFmtId="3" fontId="4" fillId="6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3" fontId="4" fillId="5" borderId="2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165" fontId="4" fillId="6" borderId="2" xfId="0" applyNumberFormat="1" applyFont="1" applyFill="1" applyBorder="1" applyAlignment="1">
      <alignment vertical="center"/>
    </xf>
    <xf numFmtId="9" fontId="4" fillId="6" borderId="2" xfId="0" applyNumberFormat="1" applyFont="1" applyFill="1" applyBorder="1" applyAlignment="1">
      <alignment vertical="center"/>
    </xf>
    <xf numFmtId="9" fontId="4" fillId="5" borderId="2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 indent="1"/>
    </xf>
    <xf numFmtId="3" fontId="4" fillId="5" borderId="4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 indent="1"/>
    </xf>
    <xf numFmtId="3" fontId="4" fillId="6" borderId="3" xfId="0" applyNumberFormat="1" applyFont="1" applyFill="1" applyBorder="1" applyAlignment="1">
      <alignment vertical="center"/>
    </xf>
    <xf numFmtId="165" fontId="4" fillId="5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5" borderId="2" xfId="0" applyFont="1" applyFill="1" applyBorder="1" applyAlignment="1">
      <alignment horizontal="left" vertical="center" indent="1"/>
    </xf>
    <xf numFmtId="167" fontId="4" fillId="5" borderId="2" xfId="2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 indent="1"/>
    </xf>
    <xf numFmtId="167" fontId="4" fillId="6" borderId="2" xfId="2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indent="1"/>
    </xf>
    <xf numFmtId="3" fontId="7" fillId="7" borderId="8" xfId="0" applyNumberFormat="1" applyFont="1" applyFill="1" applyBorder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4" fillId="6" borderId="9" xfId="0" applyFont="1" applyFill="1" applyBorder="1" applyAlignment="1">
      <alignment vertical="center"/>
    </xf>
    <xf numFmtId="165" fontId="4" fillId="6" borderId="9" xfId="1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left" vertical="center" indent="1"/>
    </xf>
    <xf numFmtId="0" fontId="4" fillId="5" borderId="9" xfId="0" applyFont="1" applyFill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horizontal="left" vertical="center" indent="1"/>
    </xf>
    <xf numFmtId="9" fontId="4" fillId="6" borderId="9" xfId="0" applyNumberFormat="1" applyFont="1" applyFill="1" applyBorder="1" applyAlignment="1">
      <alignment vertical="center"/>
    </xf>
    <xf numFmtId="9" fontId="4" fillId="5" borderId="9" xfId="0" applyNumberFormat="1" applyFont="1" applyFill="1" applyBorder="1" applyAlignment="1">
      <alignment vertical="center"/>
    </xf>
    <xf numFmtId="165" fontId="4" fillId="5" borderId="9" xfId="0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8" borderId="0" xfId="0" applyFont="1" applyFill="1" applyAlignment="1">
      <alignment vertical="center"/>
    </xf>
    <xf numFmtId="0" fontId="7" fillId="8" borderId="0" xfId="0" applyFont="1" applyFill="1" applyAlignment="1">
      <alignment horizontal="left" vertical="center" indent="1"/>
    </xf>
    <xf numFmtId="165" fontId="4" fillId="5" borderId="2" xfId="1" applyNumberFormat="1" applyFont="1" applyFill="1" applyBorder="1" applyAlignment="1">
      <alignment vertical="center"/>
    </xf>
    <xf numFmtId="1" fontId="4" fillId="6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0" fontId="4" fillId="5" borderId="2" xfId="0" applyNumberFormat="1" applyFont="1" applyFill="1" applyBorder="1" applyAlignment="1">
      <alignment vertical="center"/>
    </xf>
    <xf numFmtId="10" fontId="4" fillId="6" borderId="2" xfId="0" applyNumberFormat="1" applyFont="1" applyFill="1" applyBorder="1" applyAlignment="1">
      <alignment vertical="center"/>
    </xf>
    <xf numFmtId="9" fontId="4" fillId="5" borderId="7" xfId="0" applyNumberFormat="1" applyFont="1" applyFill="1" applyBorder="1" applyAlignment="1">
      <alignment vertical="center"/>
    </xf>
    <xf numFmtId="1" fontId="4" fillId="5" borderId="2" xfId="0" applyNumberFormat="1" applyFont="1" applyFill="1" applyBorder="1" applyAlignment="1">
      <alignment vertical="center"/>
    </xf>
    <xf numFmtId="2" fontId="4" fillId="6" borderId="2" xfId="0" applyNumberFormat="1" applyFont="1" applyFill="1" applyBorder="1" applyAlignment="1">
      <alignment vertical="center"/>
    </xf>
    <xf numFmtId="0" fontId="7" fillId="8" borderId="5" xfId="0" applyFont="1" applyFill="1" applyBorder="1" applyAlignment="1">
      <alignment horizontal="left" vertical="center" indent="1"/>
    </xf>
    <xf numFmtId="0" fontId="7" fillId="8" borderId="6" xfId="0" applyFont="1" applyFill="1" applyBorder="1" applyAlignment="1">
      <alignment horizontal="left" vertical="center" indent="1"/>
    </xf>
    <xf numFmtId="0" fontId="7" fillId="8" borderId="7" xfId="0" applyFont="1" applyFill="1" applyBorder="1" applyAlignment="1">
      <alignment horizontal="left" vertical="center" indent="1"/>
    </xf>
    <xf numFmtId="2" fontId="4" fillId="5" borderId="2" xfId="0" applyNumberFormat="1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166" fontId="4" fillId="5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4" fillId="9" borderId="6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indent="1"/>
    </xf>
    <xf numFmtId="167" fontId="4" fillId="0" borderId="0" xfId="0" applyNumberFormat="1" applyFont="1" applyAlignment="1">
      <alignment vertical="center"/>
    </xf>
    <xf numFmtId="1" fontId="4" fillId="6" borderId="6" xfId="0" applyNumberFormat="1" applyFont="1" applyFill="1" applyBorder="1" applyAlignment="1">
      <alignment vertical="center"/>
    </xf>
    <xf numFmtId="1" fontId="4" fillId="6" borderId="7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3" fontId="4" fillId="6" borderId="7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2"/>
    </xf>
    <xf numFmtId="0" fontId="4" fillId="6" borderId="2" xfId="0" applyFont="1" applyFill="1" applyBorder="1" applyAlignment="1">
      <alignment horizontal="left" vertical="center" indent="2"/>
    </xf>
    <xf numFmtId="0" fontId="4" fillId="6" borderId="2" xfId="0" applyFont="1" applyFill="1" applyBorder="1" applyAlignment="1">
      <alignment horizontal="left" vertical="center" indent="3"/>
    </xf>
    <xf numFmtId="0" fontId="4" fillId="5" borderId="2" xfId="0" applyFont="1" applyFill="1" applyBorder="1" applyAlignment="1">
      <alignment horizontal="left" vertical="center" indent="3"/>
    </xf>
    <xf numFmtId="0" fontId="10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9" fontId="4" fillId="5" borderId="2" xfId="1" applyFont="1" applyFill="1" applyBorder="1" applyAlignment="1">
      <alignment vertical="center"/>
    </xf>
    <xf numFmtId="9" fontId="4" fillId="6" borderId="2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2" fontId="4" fillId="6" borderId="0" xfId="0" applyNumberFormat="1" applyFont="1" applyFill="1" applyBorder="1" applyAlignment="1">
      <alignment vertical="center"/>
    </xf>
    <xf numFmtId="0" fontId="7" fillId="8" borderId="0" xfId="0" applyFont="1" applyFill="1" applyBorder="1" applyAlignment="1">
      <alignment horizontal="left" vertical="center" indent="1"/>
    </xf>
    <xf numFmtId="2" fontId="7" fillId="8" borderId="0" xfId="0" applyNumberFormat="1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vertical="center" indent="2"/>
    </xf>
    <xf numFmtId="0" fontId="7" fillId="5" borderId="2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10" borderId="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7" fillId="9" borderId="5" xfId="0" applyFont="1" applyFill="1" applyBorder="1" applyAlignment="1">
      <alignment horizontal="left" vertical="center" indent="1"/>
    </xf>
    <xf numFmtId="0" fontId="4" fillId="5" borderId="9" xfId="0" applyFont="1" applyFill="1" applyBorder="1" applyAlignment="1">
      <alignment horizontal="left" vertical="center" indent="2"/>
    </xf>
    <xf numFmtId="0" fontId="4" fillId="5" borderId="9" xfId="0" applyFont="1" applyFill="1" applyBorder="1" applyAlignment="1">
      <alignment horizontal="right" vertical="center"/>
    </xf>
    <xf numFmtId="166" fontId="4" fillId="5" borderId="9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 indent="1"/>
    </xf>
    <xf numFmtId="0" fontId="7" fillId="6" borderId="9" xfId="0" applyFont="1" applyFill="1" applyBorder="1" applyAlignment="1">
      <alignment horizontal="left" vertical="center" indent="1"/>
    </xf>
    <xf numFmtId="0" fontId="7" fillId="6" borderId="9" xfId="0" applyFont="1" applyFill="1" applyBorder="1" applyAlignment="1">
      <alignment vertical="center"/>
    </xf>
    <xf numFmtId="166" fontId="7" fillId="6" borderId="9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9" fontId="7" fillId="6" borderId="9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 indent="2"/>
    </xf>
    <xf numFmtId="0" fontId="7" fillId="5" borderId="2" xfId="0" applyFont="1" applyFill="1" applyBorder="1" applyAlignment="1">
      <alignment horizontal="left" vertical="center" indent="2"/>
    </xf>
    <xf numFmtId="0" fontId="7" fillId="9" borderId="0" xfId="0" applyFont="1" applyFill="1" applyAlignment="1">
      <alignment horizontal="left" vertical="center" indent="1"/>
    </xf>
    <xf numFmtId="2" fontId="7" fillId="5" borderId="9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6" borderId="2" xfId="0" applyNumberFormat="1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6" borderId="0" xfId="0" applyNumberFormat="1" applyFont="1" applyFill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3" fontId="7" fillId="8" borderId="6" xfId="0" applyNumberFormat="1" applyFont="1" applyFill="1" applyBorder="1" applyAlignment="1">
      <alignment horizontal="left" vertical="center" indent="1"/>
    </xf>
    <xf numFmtId="3" fontId="7" fillId="8" borderId="7" xfId="0" applyNumberFormat="1" applyFont="1" applyFill="1" applyBorder="1" applyAlignment="1">
      <alignment horizontal="left" vertical="center" indent="1"/>
    </xf>
    <xf numFmtId="3" fontId="4" fillId="6" borderId="9" xfId="0" applyNumberFormat="1" applyFont="1" applyFill="1" applyBorder="1" applyAlignment="1">
      <alignment vertical="center"/>
    </xf>
    <xf numFmtId="4" fontId="7" fillId="8" borderId="6" xfId="0" applyNumberFormat="1" applyFont="1" applyFill="1" applyBorder="1" applyAlignment="1">
      <alignment horizontal="left" vertical="center" indent="1"/>
    </xf>
    <xf numFmtId="4" fontId="7" fillId="8" borderId="7" xfId="0" applyNumberFormat="1" applyFont="1" applyFill="1" applyBorder="1" applyAlignment="1">
      <alignment horizontal="left" vertical="center" indent="1"/>
    </xf>
    <xf numFmtId="4" fontId="4" fillId="5" borderId="9" xfId="0" applyNumberFormat="1" applyFont="1" applyFill="1" applyBorder="1" applyAlignment="1">
      <alignment vertical="center"/>
    </xf>
    <xf numFmtId="4" fontId="4" fillId="6" borderId="6" xfId="0" applyNumberFormat="1" applyFont="1" applyFill="1" applyBorder="1" applyAlignment="1">
      <alignment vertical="center"/>
    </xf>
    <xf numFmtId="4" fontId="4" fillId="6" borderId="7" xfId="0" applyNumberFormat="1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vertical="center"/>
    </xf>
    <xf numFmtId="3" fontId="4" fillId="9" borderId="7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vertical="center"/>
    </xf>
    <xf numFmtId="4" fontId="4" fillId="6" borderId="2" xfId="2" applyNumberFormat="1" applyFont="1" applyFill="1" applyBorder="1" applyAlignment="1">
      <alignment vertical="center"/>
    </xf>
    <xf numFmtId="4" fontId="4" fillId="6" borderId="3" xfId="2" applyNumberFormat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4" fontId="4" fillId="5" borderId="3" xfId="2" applyNumberFormat="1" applyFont="1" applyFill="1" applyBorder="1" applyAlignment="1">
      <alignment vertical="center"/>
    </xf>
    <xf numFmtId="4" fontId="4" fillId="5" borderId="9" xfId="2" applyNumberFormat="1" applyFont="1" applyFill="1" applyBorder="1" applyAlignment="1">
      <alignment vertical="center"/>
    </xf>
    <xf numFmtId="4" fontId="7" fillId="5" borderId="9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6" borderId="0" xfId="0" applyFont="1" applyFill="1" applyBorder="1" applyAlignment="1">
      <alignment vertical="center"/>
    </xf>
    <xf numFmtId="9" fontId="7" fillId="6" borderId="0" xfId="0" applyNumberFormat="1" applyFont="1" applyFill="1" applyBorder="1" applyAlignment="1">
      <alignment vertical="center"/>
    </xf>
    <xf numFmtId="4" fontId="7" fillId="5" borderId="2" xfId="0" applyNumberFormat="1" applyFont="1" applyFill="1" applyBorder="1" applyAlignment="1">
      <alignment vertical="center"/>
    </xf>
    <xf numFmtId="4" fontId="4" fillId="9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4" fillId="6" borderId="6" xfId="2" applyNumberFormat="1" applyFont="1" applyFill="1" applyBorder="1" applyAlignment="1">
      <alignment vertical="center"/>
    </xf>
    <xf numFmtId="4" fontId="4" fillId="6" borderId="7" xfId="2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4" fontId="4" fillId="5" borderId="6" xfId="2" applyNumberFormat="1" applyFont="1" applyFill="1" applyBorder="1" applyAlignment="1">
      <alignment vertical="center"/>
    </xf>
    <xf numFmtId="4" fontId="4" fillId="5" borderId="7" xfId="2" applyNumberFormat="1" applyFont="1" applyFill="1" applyBorder="1" applyAlignment="1">
      <alignment vertical="center"/>
    </xf>
    <xf numFmtId="4" fontId="4" fillId="5" borderId="7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8"/>
    </xf>
    <xf numFmtId="0" fontId="6" fillId="3" borderId="0" xfId="0" applyFont="1" applyFill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4" fillId="6" borderId="9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0" fontId="5" fillId="3" borderId="2" xfId="0" applyNumberFormat="1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EDF9"/>
      <color rgb="FFF6F8FB"/>
      <color rgb="FF385A7B"/>
      <color rgb="FF4983BB"/>
      <color rgb="FFD8E9FB"/>
      <color rgb="FF8BC8F6"/>
      <color rgb="FFC6E2A1"/>
      <color rgb="FFF2D899"/>
      <color rgb="FFF6C39B"/>
      <color rgb="FFF7E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planilha-planejamento-financeiro-contaazu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2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108</xdr:row>
      <xdr:rowOff>104592</xdr:rowOff>
    </xdr:from>
    <xdr:to>
      <xdr:col>1</xdr:col>
      <xdr:colOff>1162050</xdr:colOff>
      <xdr:row>108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4215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102</xdr:row>
      <xdr:rowOff>76200</xdr:rowOff>
    </xdr:from>
    <xdr:to>
      <xdr:col>7</xdr:col>
      <xdr:colOff>19050</xdr:colOff>
      <xdr:row>106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2002155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19048</xdr:colOff>
      <xdr:row>2</xdr:row>
      <xdr:rowOff>0</xdr:rowOff>
    </xdr:from>
    <xdr:ext cx="7753351" cy="13121816"/>
    <xdr:sp macro="" textlink="">
      <xdr:nvSpPr>
        <xdr:cNvPr id="5" name="CaixaDeTexto 4"/>
        <xdr:cNvSpPr txBox="1"/>
      </xdr:nvSpPr>
      <xdr:spPr>
        <a:xfrm>
          <a:off x="19048" y="895350"/>
          <a:ext cx="7753351" cy="131218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Planilha de Planejamento Financeiro contém todas as informações que uma empresa precisa para fazer e controlar sua gestão. O modelo foi criado com base em uma indústria de travesseiros e, diante dessa premissa, usa números, indicadores, índices e parâmetros ligados a esse mercado. 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objetivo foi entregar o material mais completo possível para que ele fosse adaptado conforme as necessidades de cada empreendedor, independente do ramo de atuação. Por isso, ao analisar quais abas e informações, leve em consideração o seu tipo de negócio e o que vale a pena incluir no Planejamento Financeiro.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 boa parte das abas, propusemos uma segmentação por região, mas você pode ajustar essa separação para outras formas de segmentação.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Confira uma descrição de cada aba: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Premissas econômicas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Variáveis gerais, como crescimento do PIB, inflação, reajuste de salários e outros movimentos do mercado.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Plano de vendas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Evolução de vendas do mercado e de sua empresa, segmentada por região. Você pode usar outras formas de segmentação.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Faturamento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Mudanças nas receitas, considerando inflação, impostos e taxas de juros. Você pode usar outras formas de segmentação.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Plano de produção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Planejamento da produção, considerando níveis de estoque e demanda.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Matéria-prima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Planejamento de compras e movimentação de matérias-primas, considerando impostos, taxas de juros e tipos de insumos.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Mão de obra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Previsão de custos de mão de obra, considerando a produtividade, horas e dias trabalhados e quantidade de funcionários.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Plano de investimentos, considerando imóveis, máquinas e equipamentos, móveis e equipamentos de informática, por exemplo.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Plano de RH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Voltado a custos com salários e outras formas de remuneração, mais encargos. 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Gastos operacionais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Despesas por setor ou centro de custos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 do produto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Projeção de custo por unidade, considerando matéria-prima, mão de obra e gastos indiretos.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Plano financeiro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Projeção de contas a pagar e a receber, estoques, empréstimos e fluxo financeiro.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DRE Projetado 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Modelo de projeção de Demonstrativo de Resultados do Exercício.</a:t>
          </a:r>
        </a:p>
        <a:p>
          <a:pPr eaLnBrk="1" fontAlgn="auto" latinLnBrk="0" hangingPunct="1">
            <a:lnSpc>
              <a:spcPct val="150000"/>
            </a:lnSpc>
          </a:pP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Modelo de balanço da empresa, projetando cada trimestre.</a:t>
          </a:r>
        </a:p>
        <a:p>
          <a:pPr eaLnBrk="1" fontAlgn="auto" latinLnBrk="0" hangingPunct="1">
            <a:lnSpc>
              <a:spcPct val="150000"/>
            </a:lnSpc>
          </a:pPr>
          <a:endParaRPr lang="pt-BR" sz="1100" baseline="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pt-BR" sz="1800" b="0" i="0" u="none" strike="noStrike" baseline="0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empresa modelo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preencher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cada aba, usamos uma e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mpresa fictícia, do segmento de "travesseiros premium". Seu produto é um travesseiro de 60x60 cm, muito confortável, feito com penas de ave. Uma característica do material é que a sua variação de preço é grande durante o ano. Aumentos de preços bruscos, consequentemente, fazem com que o volume da produção caia significativamente. Porém, não se tem certeza de que o inverso também ocorra.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informações disponíveis, referentes às vendas, ao potencial de mercado e à penetração (vendas/potencial) estão descritas no primeiro bloco de informações ali embaixo. Aliás, todas as informações da empresa estão descritas nesta aba. Por meio delas, as outras abas foram sendo preenchidas.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 baseline="0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Alterar os dados da planilha conforme a realidade de sua empresa. Analise os dados, verifique todas as abas e veja qual delas se encaixa no seu tipo de negócio, afinal, cada empresa tem suas especificidades. Bom trabalho!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104</xdr:row>
      <xdr:rowOff>104592</xdr:rowOff>
    </xdr:from>
    <xdr:to>
      <xdr:col>1</xdr:col>
      <xdr:colOff>1162050</xdr:colOff>
      <xdr:row>104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2886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98</xdr:row>
      <xdr:rowOff>76200</xdr:rowOff>
    </xdr:from>
    <xdr:to>
      <xdr:col>7</xdr:col>
      <xdr:colOff>390525</xdr:colOff>
      <xdr:row>102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238887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95067</xdr:rowOff>
    </xdr:from>
    <xdr:to>
      <xdr:col>1</xdr:col>
      <xdr:colOff>1171575</xdr:colOff>
      <xdr:row>40</xdr:row>
      <xdr:rowOff>276042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7343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34</xdr:row>
      <xdr:rowOff>66675</xdr:rowOff>
    </xdr:from>
    <xdr:to>
      <xdr:col>7</xdr:col>
      <xdr:colOff>76200</xdr:colOff>
      <xdr:row>38</xdr:row>
      <xdr:rowOff>123458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83343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103</xdr:row>
      <xdr:rowOff>104592</xdr:rowOff>
    </xdr:from>
    <xdr:to>
      <xdr:col>1</xdr:col>
      <xdr:colOff>1181100</xdr:colOff>
      <xdr:row>103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1456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97</xdr:row>
      <xdr:rowOff>76200</xdr:rowOff>
    </xdr:from>
    <xdr:to>
      <xdr:col>7</xdr:col>
      <xdr:colOff>409575</xdr:colOff>
      <xdr:row>101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42875" y="227457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</xdr:row>
      <xdr:rowOff>104592</xdr:rowOff>
    </xdr:from>
    <xdr:to>
      <xdr:col>1</xdr:col>
      <xdr:colOff>1171575</xdr:colOff>
      <xdr:row>42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2010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36</xdr:row>
      <xdr:rowOff>76200</xdr:rowOff>
    </xdr:from>
    <xdr:to>
      <xdr:col>8</xdr:col>
      <xdr:colOff>342900</xdr:colOff>
      <xdr:row>40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33350" y="88011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49</xdr:row>
      <xdr:rowOff>104592</xdr:rowOff>
    </xdr:from>
    <xdr:to>
      <xdr:col>1</xdr:col>
      <xdr:colOff>1162050</xdr:colOff>
      <xdr:row>49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441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43</xdr:row>
      <xdr:rowOff>76200</xdr:rowOff>
    </xdr:from>
    <xdr:to>
      <xdr:col>7</xdr:col>
      <xdr:colOff>295275</xdr:colOff>
      <xdr:row>47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1034415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33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26</xdr:row>
      <xdr:rowOff>104592</xdr:rowOff>
    </xdr:from>
    <xdr:to>
      <xdr:col>1</xdr:col>
      <xdr:colOff>1209675</xdr:colOff>
      <xdr:row>26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5784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20</xdr:row>
      <xdr:rowOff>76200</xdr:rowOff>
    </xdr:from>
    <xdr:to>
      <xdr:col>8</xdr:col>
      <xdr:colOff>276225</xdr:colOff>
      <xdr:row>24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71450" y="565785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46</xdr:row>
      <xdr:rowOff>95067</xdr:rowOff>
    </xdr:from>
    <xdr:to>
      <xdr:col>1</xdr:col>
      <xdr:colOff>1181100</xdr:colOff>
      <xdr:row>46</xdr:row>
      <xdr:rowOff>276042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7917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40</xdr:row>
      <xdr:rowOff>66675</xdr:rowOff>
    </xdr:from>
    <xdr:to>
      <xdr:col>8</xdr:col>
      <xdr:colOff>361950</xdr:colOff>
      <xdr:row>44</xdr:row>
      <xdr:rowOff>123458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42875" y="103917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58</xdr:row>
      <xdr:rowOff>95067</xdr:rowOff>
    </xdr:from>
    <xdr:to>
      <xdr:col>1</xdr:col>
      <xdr:colOff>1181100</xdr:colOff>
      <xdr:row>58</xdr:row>
      <xdr:rowOff>276042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777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52</xdr:row>
      <xdr:rowOff>66675</xdr:rowOff>
    </xdr:from>
    <xdr:to>
      <xdr:col>7</xdr:col>
      <xdr:colOff>438150</xdr:colOff>
      <xdr:row>56</xdr:row>
      <xdr:rowOff>123458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42875" y="126777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47</xdr:row>
      <xdr:rowOff>95067</xdr:rowOff>
    </xdr:from>
    <xdr:to>
      <xdr:col>1</xdr:col>
      <xdr:colOff>1190625</xdr:colOff>
      <xdr:row>47</xdr:row>
      <xdr:rowOff>276042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5631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41</xdr:row>
      <xdr:rowOff>66675</xdr:rowOff>
    </xdr:from>
    <xdr:to>
      <xdr:col>7</xdr:col>
      <xdr:colOff>314325</xdr:colOff>
      <xdr:row>45</xdr:row>
      <xdr:rowOff>123458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52400" y="101631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74</xdr:row>
      <xdr:rowOff>104592</xdr:rowOff>
    </xdr:from>
    <xdr:to>
      <xdr:col>1</xdr:col>
      <xdr:colOff>1190625</xdr:colOff>
      <xdr:row>74</xdr:row>
      <xdr:rowOff>285567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7448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68</xdr:row>
      <xdr:rowOff>76200</xdr:rowOff>
    </xdr:from>
    <xdr:to>
      <xdr:col>7</xdr:col>
      <xdr:colOff>400050</xdr:colOff>
      <xdr:row>72</xdr:row>
      <xdr:rowOff>132983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52400" y="163449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95067</xdr:rowOff>
    </xdr:from>
    <xdr:to>
      <xdr:col>1</xdr:col>
      <xdr:colOff>1171575</xdr:colOff>
      <xdr:row>48</xdr:row>
      <xdr:rowOff>276042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791767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42</xdr:row>
      <xdr:rowOff>66675</xdr:rowOff>
    </xdr:from>
    <xdr:to>
      <xdr:col>7</xdr:col>
      <xdr:colOff>304800</xdr:colOff>
      <xdr:row>46</xdr:row>
      <xdr:rowOff>123458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33350" y="103917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9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55</xdr:row>
      <xdr:rowOff>104592</xdr:rowOff>
    </xdr:from>
    <xdr:to>
      <xdr:col>1</xdr:col>
      <xdr:colOff>1162050</xdr:colOff>
      <xdr:row>55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6300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49</xdr:row>
      <xdr:rowOff>76200</xdr:rowOff>
    </xdr:from>
    <xdr:to>
      <xdr:col>7</xdr:col>
      <xdr:colOff>295275</xdr:colOff>
      <xdr:row>53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23825" y="122301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657225</xdr:rowOff>
    </xdr:to>
    <xdr:pic>
      <xdr:nvPicPr>
        <xdr:cNvPr id="18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72</xdr:row>
      <xdr:rowOff>104592</xdr:rowOff>
    </xdr:from>
    <xdr:to>
      <xdr:col>1</xdr:col>
      <xdr:colOff>1152525</xdr:colOff>
      <xdr:row>72</xdr:row>
      <xdr:rowOff>285567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059092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66</xdr:row>
      <xdr:rowOff>76200</xdr:rowOff>
    </xdr:from>
    <xdr:to>
      <xdr:col>7</xdr:col>
      <xdr:colOff>390525</xdr:colOff>
      <xdr:row>70</xdr:row>
      <xdr:rowOff>132983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14300" y="156591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showGridLines="0" showRowColHeaders="0" tabSelected="1" zoomScaleNormal="10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37.42578125" style="1" customWidth="1"/>
    <col min="3" max="5" width="13" style="1" customWidth="1"/>
    <col min="6" max="6" width="14.140625" style="1" customWidth="1"/>
    <col min="7" max="16384" width="11.42578125" style="1"/>
  </cols>
  <sheetData>
    <row r="1" spans="1:2" s="188" customFormat="1" ht="52.5" customHeight="1" thickBot="1" x14ac:dyDescent="0.25">
      <c r="A1" s="188" t="s">
        <v>222</v>
      </c>
    </row>
    <row r="2" spans="1:2" ht="18" customHeight="1" thickTop="1" x14ac:dyDescent="0.2"/>
    <row r="3" spans="1:2" ht="22.5" customHeight="1" x14ac:dyDescent="0.2">
      <c r="B3" s="3"/>
    </row>
    <row r="4" spans="1:2" ht="18" customHeight="1" x14ac:dyDescent="0.2">
      <c r="B4" s="3"/>
    </row>
    <row r="5" spans="1:2" ht="18" customHeight="1" x14ac:dyDescent="0.2">
      <c r="B5" s="3"/>
    </row>
    <row r="6" spans="1:2" ht="18" customHeight="1" x14ac:dyDescent="0.2">
      <c r="B6" s="3"/>
    </row>
    <row r="7" spans="1:2" ht="18" customHeight="1" x14ac:dyDescent="0.2">
      <c r="B7" s="3"/>
    </row>
    <row r="8" spans="1:2" ht="18" customHeight="1" x14ac:dyDescent="0.2">
      <c r="B8" s="3"/>
    </row>
    <row r="9" spans="1:2" ht="18" customHeight="1" x14ac:dyDescent="0.2">
      <c r="B9" s="3"/>
    </row>
    <row r="10" spans="1:2" ht="18" customHeight="1" x14ac:dyDescent="0.2">
      <c r="B10" s="3"/>
    </row>
    <row r="11" spans="1:2" ht="18" customHeight="1" x14ac:dyDescent="0.2">
      <c r="B11" s="3"/>
    </row>
    <row r="12" spans="1:2" ht="18" customHeight="1" x14ac:dyDescent="0.2">
      <c r="B12" s="3"/>
    </row>
    <row r="13" spans="1:2" ht="18" customHeight="1" x14ac:dyDescent="0.2">
      <c r="B13" s="3"/>
    </row>
    <row r="14" spans="1:2" ht="18" customHeight="1" x14ac:dyDescent="0.2">
      <c r="B14" s="3"/>
    </row>
    <row r="15" spans="1:2" ht="18" customHeight="1" x14ac:dyDescent="0.2">
      <c r="B15" s="3"/>
    </row>
    <row r="16" spans="1:2" ht="18" customHeight="1" x14ac:dyDescent="0.2">
      <c r="B16" s="3"/>
    </row>
    <row r="17" spans="2:2" ht="18" customHeight="1" x14ac:dyDescent="0.2">
      <c r="B17" s="3"/>
    </row>
    <row r="18" spans="2:2" ht="18" customHeight="1" x14ac:dyDescent="0.2">
      <c r="B18" s="3"/>
    </row>
    <row r="19" spans="2:2" ht="18" customHeight="1" x14ac:dyDescent="0.2">
      <c r="B19" s="3"/>
    </row>
    <row r="20" spans="2:2" ht="18" customHeight="1" x14ac:dyDescent="0.2">
      <c r="B20" s="3"/>
    </row>
    <row r="21" spans="2:2" ht="18" customHeight="1" x14ac:dyDescent="0.2">
      <c r="B21" s="3"/>
    </row>
    <row r="22" spans="2:2" ht="18" customHeight="1" x14ac:dyDescent="0.2">
      <c r="B22" s="3"/>
    </row>
    <row r="23" spans="2:2" ht="18" customHeight="1" x14ac:dyDescent="0.2">
      <c r="B23" s="3"/>
    </row>
    <row r="24" spans="2:2" ht="18" customHeight="1" x14ac:dyDescent="0.2">
      <c r="B24" s="3"/>
    </row>
    <row r="25" spans="2:2" ht="18" customHeight="1" x14ac:dyDescent="0.2">
      <c r="B25" s="3"/>
    </row>
    <row r="26" spans="2:2" ht="18" customHeight="1" x14ac:dyDescent="0.2">
      <c r="B26" s="3"/>
    </row>
    <row r="27" spans="2:2" ht="18" customHeight="1" x14ac:dyDescent="0.2">
      <c r="B27" s="3"/>
    </row>
    <row r="28" spans="2:2" ht="18" customHeight="1" x14ac:dyDescent="0.2">
      <c r="B28" s="3"/>
    </row>
    <row r="29" spans="2:2" ht="18" customHeight="1" x14ac:dyDescent="0.2">
      <c r="B29" s="3"/>
    </row>
    <row r="30" spans="2:2" ht="18" customHeight="1" x14ac:dyDescent="0.2">
      <c r="B30" s="3"/>
    </row>
    <row r="31" spans="2:2" ht="18" customHeight="1" x14ac:dyDescent="0.2">
      <c r="B31" s="3"/>
    </row>
    <row r="32" spans="2:2" ht="18" customHeight="1" x14ac:dyDescent="0.2">
      <c r="B32" s="3"/>
    </row>
    <row r="33" spans="2:5" ht="18" customHeight="1" x14ac:dyDescent="0.2">
      <c r="B33" s="3"/>
    </row>
    <row r="34" spans="2:5" ht="18" customHeight="1" x14ac:dyDescent="0.2">
      <c r="B34" s="3"/>
    </row>
    <row r="35" spans="2:5" ht="18" customHeight="1" x14ac:dyDescent="0.2">
      <c r="B35" s="3"/>
    </row>
    <row r="36" spans="2:5" s="4" customFormat="1" ht="18" customHeight="1" x14ac:dyDescent="0.2"/>
    <row r="37" spans="2:5" s="4" customFormat="1" ht="18" customHeight="1" x14ac:dyDescent="0.2"/>
    <row r="38" spans="2:5" s="4" customFormat="1" ht="18" customHeight="1" x14ac:dyDescent="0.2">
      <c r="C38" s="32" t="s">
        <v>172</v>
      </c>
      <c r="D38" s="32" t="s">
        <v>173</v>
      </c>
      <c r="E38" s="32" t="s">
        <v>7</v>
      </c>
    </row>
    <row r="39" spans="2:5" s="4" customFormat="1" ht="18" customHeight="1" x14ac:dyDescent="0.2">
      <c r="B39" s="29" t="s">
        <v>171</v>
      </c>
      <c r="C39" s="30"/>
      <c r="D39" s="30"/>
      <c r="E39" s="31"/>
    </row>
    <row r="40" spans="2:5" s="4" customFormat="1" ht="18" customHeight="1" x14ac:dyDescent="0.2">
      <c r="B40" s="24" t="s">
        <v>174</v>
      </c>
      <c r="C40" s="25">
        <v>180000</v>
      </c>
      <c r="D40" s="25">
        <v>190000</v>
      </c>
      <c r="E40" s="25">
        <v>200000</v>
      </c>
    </row>
    <row r="41" spans="2:5" s="4" customFormat="1" ht="18" customHeight="1" x14ac:dyDescent="0.2">
      <c r="B41" s="26" t="s">
        <v>175</v>
      </c>
      <c r="C41" s="27">
        <v>600000</v>
      </c>
      <c r="D41" s="27">
        <v>700000</v>
      </c>
      <c r="E41" s="27">
        <v>800000</v>
      </c>
    </row>
    <row r="42" spans="2:5" s="4" customFormat="1" ht="18" customHeight="1" x14ac:dyDescent="0.2">
      <c r="B42" s="29" t="s">
        <v>176</v>
      </c>
      <c r="C42" s="30"/>
      <c r="D42" s="30"/>
      <c r="E42" s="31"/>
    </row>
    <row r="43" spans="2:5" s="4" customFormat="1" ht="18" customHeight="1" x14ac:dyDescent="0.2">
      <c r="B43" s="24" t="s">
        <v>174</v>
      </c>
      <c r="C43" s="28">
        <v>9.0999999999999998E-2</v>
      </c>
      <c r="D43" s="28">
        <v>5.6000000000000001E-2</v>
      </c>
      <c r="E43" s="28">
        <v>5.2999999999999999E-2</v>
      </c>
    </row>
    <row r="44" spans="2:5" s="4" customFormat="1" ht="18" customHeight="1" x14ac:dyDescent="0.2">
      <c r="B44" s="20" t="s">
        <v>175</v>
      </c>
      <c r="C44" s="22">
        <v>0.2</v>
      </c>
      <c r="D44" s="21">
        <v>0.16700000000000001</v>
      </c>
      <c r="E44" s="21">
        <v>0.14299999999999999</v>
      </c>
    </row>
    <row r="45" spans="2:5" s="4" customFormat="1" ht="18" customHeight="1" x14ac:dyDescent="0.2">
      <c r="B45" s="57" t="s">
        <v>177</v>
      </c>
      <c r="C45" s="62">
        <v>0.3</v>
      </c>
      <c r="D45" s="63">
        <v>0.27100000000000002</v>
      </c>
      <c r="E45" s="62">
        <v>0.25</v>
      </c>
    </row>
    <row r="46" spans="2:5" s="4" customFormat="1" ht="18" customHeight="1" x14ac:dyDescent="0.2"/>
    <row r="47" spans="2:5" s="4" customFormat="1" ht="18" customHeight="1" x14ac:dyDescent="0.2"/>
    <row r="48" spans="2:5" s="4" customFormat="1" ht="18" customHeight="1" x14ac:dyDescent="0.2">
      <c r="B48" s="173" t="s">
        <v>245</v>
      </c>
    </row>
    <row r="49" spans="2:6" s="4" customFormat="1" ht="18" customHeight="1" x14ac:dyDescent="0.2"/>
    <row r="50" spans="2:6" s="4" customFormat="1" ht="18" customHeight="1" x14ac:dyDescent="0.2">
      <c r="C50" s="32" t="s">
        <v>172</v>
      </c>
      <c r="D50" s="32" t="s">
        <v>173</v>
      </c>
      <c r="E50" s="32" t="s">
        <v>7</v>
      </c>
    </row>
    <row r="51" spans="2:6" s="4" customFormat="1" ht="18" customHeight="1" x14ac:dyDescent="0.2">
      <c r="B51" s="19" t="s">
        <v>344</v>
      </c>
      <c r="C51" s="23">
        <v>0.12</v>
      </c>
      <c r="D51" s="23">
        <v>0.15</v>
      </c>
      <c r="E51" s="23">
        <v>0.15</v>
      </c>
    </row>
    <row r="52" spans="2:6" s="4" customFormat="1" ht="18" customHeight="1" x14ac:dyDescent="0.2">
      <c r="B52" s="20" t="s">
        <v>345</v>
      </c>
      <c r="C52" s="22">
        <v>0.38</v>
      </c>
      <c r="D52" s="22">
        <v>0.32</v>
      </c>
      <c r="E52" s="22">
        <v>0.25</v>
      </c>
    </row>
    <row r="53" spans="2:6" s="4" customFormat="1" ht="18" customHeight="1" x14ac:dyDescent="0.2">
      <c r="B53" s="19" t="s">
        <v>346</v>
      </c>
      <c r="C53" s="23">
        <v>0.12</v>
      </c>
      <c r="D53" s="23">
        <v>0.13</v>
      </c>
      <c r="E53" s="23">
        <v>0.14000000000000001</v>
      </c>
    </row>
    <row r="54" spans="2:6" s="4" customFormat="1" ht="18" customHeight="1" x14ac:dyDescent="0.2">
      <c r="B54" s="20" t="s">
        <v>347</v>
      </c>
      <c r="C54" s="22">
        <v>0.13</v>
      </c>
      <c r="D54" s="22">
        <v>0.12</v>
      </c>
      <c r="E54" s="22">
        <v>0.14000000000000001</v>
      </c>
    </row>
    <row r="55" spans="2:6" s="4" customFormat="1" ht="18" customHeight="1" x14ac:dyDescent="0.2">
      <c r="B55" s="19" t="s">
        <v>348</v>
      </c>
      <c r="C55" s="23">
        <v>0.17</v>
      </c>
      <c r="D55" s="23">
        <v>0.21</v>
      </c>
      <c r="E55" s="23">
        <v>0.22</v>
      </c>
    </row>
    <row r="56" spans="2:6" s="4" customFormat="1" ht="18" customHeight="1" x14ac:dyDescent="0.2">
      <c r="B56" s="60" t="s">
        <v>349</v>
      </c>
      <c r="C56" s="61">
        <v>0.08</v>
      </c>
      <c r="D56" s="61">
        <v>7.0000000000000007E-2</v>
      </c>
      <c r="E56" s="61">
        <v>0.1</v>
      </c>
    </row>
    <row r="57" spans="2:6" s="4" customFormat="1" ht="18" customHeight="1" x14ac:dyDescent="0.2"/>
    <row r="58" spans="2:6" s="4" customFormat="1" ht="18" customHeight="1" x14ac:dyDescent="0.2"/>
    <row r="59" spans="2:6" s="4" customFormat="1" ht="18" customHeight="1" x14ac:dyDescent="0.2">
      <c r="B59" s="173" t="s">
        <v>178</v>
      </c>
    </row>
    <row r="60" spans="2:6" s="4" customFormat="1" ht="18" customHeight="1" x14ac:dyDescent="0.2"/>
    <row r="61" spans="2:6" s="4" customFormat="1" ht="33.75" customHeight="1" x14ac:dyDescent="0.2">
      <c r="C61" s="32" t="s">
        <v>179</v>
      </c>
      <c r="D61" s="32" t="s">
        <v>180</v>
      </c>
      <c r="E61" s="32" t="s">
        <v>181</v>
      </c>
      <c r="F61" s="33" t="s">
        <v>227</v>
      </c>
    </row>
    <row r="62" spans="2:6" s="4" customFormat="1" ht="18" customHeight="1" x14ac:dyDescent="0.2">
      <c r="B62" s="186" t="s">
        <v>344</v>
      </c>
      <c r="C62" s="34">
        <v>25.01</v>
      </c>
      <c r="D62" s="34">
        <v>40.200000000000003</v>
      </c>
      <c r="E62" s="34">
        <v>13.3</v>
      </c>
      <c r="F62" s="17">
        <v>100000</v>
      </c>
    </row>
    <row r="63" spans="2:6" s="4" customFormat="1" ht="18" customHeight="1" x14ac:dyDescent="0.2">
      <c r="B63" s="187" t="s">
        <v>345</v>
      </c>
      <c r="C63" s="35">
        <v>28.18</v>
      </c>
      <c r="D63" s="35">
        <v>47.5</v>
      </c>
      <c r="E63" s="35">
        <v>13.9</v>
      </c>
      <c r="F63" s="18">
        <v>50000</v>
      </c>
    </row>
    <row r="64" spans="2:6" s="4" customFormat="1" ht="18" customHeight="1" x14ac:dyDescent="0.2">
      <c r="B64" s="186" t="s">
        <v>346</v>
      </c>
      <c r="C64" s="34">
        <v>30.23</v>
      </c>
      <c r="D64" s="34">
        <v>50</v>
      </c>
      <c r="E64" s="34">
        <v>15.4</v>
      </c>
      <c r="F64" s="17">
        <v>35000</v>
      </c>
    </row>
    <row r="65" spans="2:8" s="4" customFormat="1" ht="18" customHeight="1" x14ac:dyDescent="0.2">
      <c r="B65" s="187" t="s">
        <v>347</v>
      </c>
      <c r="C65" s="35">
        <v>25.76</v>
      </c>
      <c r="D65" s="35">
        <v>46.1</v>
      </c>
      <c r="E65" s="35">
        <v>14.7</v>
      </c>
      <c r="F65" s="18">
        <v>30000</v>
      </c>
    </row>
    <row r="66" spans="2:8" s="4" customFormat="1" ht="18" customHeight="1" x14ac:dyDescent="0.2">
      <c r="B66" s="186" t="s">
        <v>348</v>
      </c>
      <c r="C66" s="58">
        <v>26.14</v>
      </c>
      <c r="D66" s="58">
        <v>42.1</v>
      </c>
      <c r="E66" s="58">
        <v>14.3</v>
      </c>
      <c r="F66" s="59">
        <v>44000</v>
      </c>
    </row>
    <row r="67" spans="2:8" s="4" customFormat="1" ht="18" customHeight="1" x14ac:dyDescent="0.2">
      <c r="B67" s="4" t="s">
        <v>0</v>
      </c>
    </row>
    <row r="68" spans="2:8" s="4" customFormat="1" ht="18" customHeight="1" x14ac:dyDescent="0.2"/>
    <row r="69" spans="2:8" s="4" customFormat="1" ht="21.75" customHeight="1" x14ac:dyDescent="0.2">
      <c r="B69" s="189" t="s">
        <v>228</v>
      </c>
      <c r="C69" s="189"/>
      <c r="E69" s="190" t="s">
        <v>182</v>
      </c>
      <c r="F69" s="190"/>
      <c r="G69" s="190"/>
      <c r="H69" s="190"/>
    </row>
    <row r="70" spans="2:8" s="4" customFormat="1" ht="18" customHeight="1" x14ac:dyDescent="0.2">
      <c r="B70" s="54" t="s">
        <v>142</v>
      </c>
      <c r="C70" s="9"/>
      <c r="E70" s="191" t="s">
        <v>246</v>
      </c>
      <c r="F70" s="191"/>
      <c r="G70" s="34"/>
      <c r="H70" s="40">
        <v>1150000</v>
      </c>
    </row>
    <row r="71" spans="2:8" s="4" customFormat="1" ht="18" customHeight="1" x14ac:dyDescent="0.2">
      <c r="B71" s="14" t="s">
        <v>143</v>
      </c>
      <c r="C71" s="10">
        <v>1</v>
      </c>
      <c r="E71" s="192" t="s">
        <v>128</v>
      </c>
      <c r="F71" s="192"/>
      <c r="G71" s="35"/>
      <c r="H71" s="42">
        <v>20000</v>
      </c>
    </row>
    <row r="72" spans="2:8" s="4" customFormat="1" ht="18" customHeight="1" x14ac:dyDescent="0.2">
      <c r="B72" s="15" t="s">
        <v>144</v>
      </c>
      <c r="C72" s="13">
        <v>228500</v>
      </c>
      <c r="E72" s="191" t="s">
        <v>247</v>
      </c>
      <c r="F72" s="191"/>
      <c r="G72" s="34"/>
      <c r="H72" s="40">
        <v>1170000</v>
      </c>
    </row>
    <row r="73" spans="2:8" s="4" customFormat="1" ht="18" customHeight="1" x14ac:dyDescent="0.2">
      <c r="B73" s="14" t="s">
        <v>145</v>
      </c>
      <c r="C73" s="11">
        <v>94790</v>
      </c>
      <c r="E73" s="44"/>
      <c r="F73" s="45"/>
      <c r="G73" s="46"/>
      <c r="H73" s="47"/>
    </row>
    <row r="74" spans="2:8" s="4" customFormat="1" ht="18" customHeight="1" x14ac:dyDescent="0.2">
      <c r="B74" s="15"/>
      <c r="C74" s="12"/>
      <c r="E74" s="19" t="s">
        <v>130</v>
      </c>
      <c r="F74" s="19"/>
      <c r="G74" s="34"/>
      <c r="H74" s="40">
        <f>H72-H76</f>
        <v>677430</v>
      </c>
    </row>
    <row r="75" spans="2:8" s="4" customFormat="1" ht="18" customHeight="1" x14ac:dyDescent="0.2">
      <c r="B75" s="14" t="s">
        <v>146</v>
      </c>
      <c r="C75" s="10">
        <f>SUM(C71:C73)</f>
        <v>323291</v>
      </c>
      <c r="E75" s="44"/>
      <c r="F75" s="45"/>
      <c r="G75" s="46"/>
      <c r="H75" s="47"/>
    </row>
    <row r="76" spans="2:8" s="4" customFormat="1" ht="18" customHeight="1" x14ac:dyDescent="0.2">
      <c r="B76" s="15"/>
      <c r="C76" s="12"/>
      <c r="E76" s="19" t="s">
        <v>131</v>
      </c>
      <c r="F76" s="19"/>
      <c r="G76" s="34"/>
      <c r="H76" s="40">
        <f>H72*H77</f>
        <v>492570</v>
      </c>
    </row>
    <row r="77" spans="2:8" s="4" customFormat="1" ht="18" customHeight="1" x14ac:dyDescent="0.2">
      <c r="B77" s="14" t="s">
        <v>147</v>
      </c>
      <c r="C77" s="11">
        <v>1260000</v>
      </c>
      <c r="E77" s="192" t="s">
        <v>248</v>
      </c>
      <c r="F77" s="192"/>
      <c r="G77" s="35"/>
      <c r="H77" s="43">
        <v>0.42099999999999999</v>
      </c>
    </row>
    <row r="78" spans="2:8" s="4" customFormat="1" ht="18" customHeight="1" x14ac:dyDescent="0.2">
      <c r="B78" s="15" t="s">
        <v>148</v>
      </c>
      <c r="C78" s="13">
        <v>201600</v>
      </c>
      <c r="E78" s="48"/>
      <c r="F78" s="49"/>
      <c r="G78" s="50"/>
      <c r="H78" s="51"/>
    </row>
    <row r="79" spans="2:8" s="4" customFormat="1" ht="18" customHeight="1" x14ac:dyDescent="0.2">
      <c r="B79" s="14" t="s">
        <v>149</v>
      </c>
      <c r="C79" s="11">
        <f>C77-C78</f>
        <v>1058400</v>
      </c>
      <c r="E79" s="192" t="s">
        <v>133</v>
      </c>
      <c r="F79" s="192"/>
      <c r="G79" s="35"/>
      <c r="H79" s="42"/>
    </row>
    <row r="80" spans="2:8" s="4" customFormat="1" ht="18" customHeight="1" x14ac:dyDescent="0.2">
      <c r="B80" s="15"/>
      <c r="C80" s="12"/>
      <c r="E80" s="191" t="s">
        <v>75</v>
      </c>
      <c r="F80" s="191"/>
      <c r="G80" s="34"/>
      <c r="H80" s="40">
        <v>97000</v>
      </c>
    </row>
    <row r="81" spans="2:9" s="4" customFormat="1" ht="18" customHeight="1" x14ac:dyDescent="0.2">
      <c r="B81" s="52" t="s">
        <v>150</v>
      </c>
      <c r="C81" s="53">
        <f>C75+C79</f>
        <v>1381691</v>
      </c>
      <c r="E81" s="192" t="s">
        <v>76</v>
      </c>
      <c r="F81" s="192"/>
      <c r="G81" s="35"/>
      <c r="H81" s="42">
        <v>18000</v>
      </c>
    </row>
    <row r="82" spans="2:9" s="4" customFormat="1" ht="18" customHeight="1" x14ac:dyDescent="0.2">
      <c r="B82" s="38"/>
      <c r="E82" s="191" t="s">
        <v>134</v>
      </c>
      <c r="F82" s="191"/>
      <c r="G82" s="34"/>
      <c r="H82" s="40">
        <v>50000</v>
      </c>
    </row>
    <row r="83" spans="2:9" s="4" customFormat="1" ht="18" customHeight="1" x14ac:dyDescent="0.2">
      <c r="B83" s="54" t="s">
        <v>151</v>
      </c>
      <c r="C83" s="9"/>
      <c r="E83" s="44"/>
      <c r="F83" s="45"/>
      <c r="G83" s="46"/>
      <c r="H83" s="47"/>
    </row>
    <row r="84" spans="2:9" s="4" customFormat="1" ht="18" customHeight="1" x14ac:dyDescent="0.2">
      <c r="B84" s="14" t="s">
        <v>152</v>
      </c>
      <c r="C84" s="11">
        <v>610000</v>
      </c>
      <c r="E84" s="191" t="s">
        <v>135</v>
      </c>
      <c r="F84" s="191"/>
      <c r="G84" s="34"/>
      <c r="H84" s="40">
        <f>H76-H80-H81-H82</f>
        <v>327570</v>
      </c>
    </row>
    <row r="85" spans="2:9" s="4" customFormat="1" ht="18" customHeight="1" x14ac:dyDescent="0.2">
      <c r="B85" s="15" t="s">
        <v>153</v>
      </c>
      <c r="C85" s="13">
        <v>90000</v>
      </c>
      <c r="E85" s="20"/>
      <c r="F85" s="20"/>
      <c r="G85" s="35"/>
      <c r="H85" s="42"/>
    </row>
    <row r="86" spans="2:9" s="4" customFormat="1" ht="18" customHeight="1" x14ac:dyDescent="0.2">
      <c r="B86" s="14" t="s">
        <v>154</v>
      </c>
      <c r="C86" s="11">
        <v>12000</v>
      </c>
      <c r="E86" s="191" t="s">
        <v>136</v>
      </c>
      <c r="F86" s="191"/>
      <c r="G86" s="34"/>
      <c r="H86" s="40">
        <v>78000</v>
      </c>
    </row>
    <row r="87" spans="2:9" s="4" customFormat="1" ht="18" customHeight="1" x14ac:dyDescent="0.2">
      <c r="B87" s="15" t="s">
        <v>160</v>
      </c>
      <c r="C87" s="13">
        <v>32100</v>
      </c>
      <c r="E87" s="44"/>
      <c r="F87" s="45"/>
      <c r="G87" s="46"/>
      <c r="H87" s="47"/>
    </row>
    <row r="88" spans="2:9" s="4" customFormat="1" ht="18" customHeight="1" x14ac:dyDescent="0.2">
      <c r="B88" s="14"/>
      <c r="C88" s="11"/>
      <c r="E88" s="191" t="s">
        <v>137</v>
      </c>
      <c r="F88" s="191"/>
      <c r="G88" s="34"/>
      <c r="H88" s="40">
        <f>H84-H86</f>
        <v>249570</v>
      </c>
    </row>
    <row r="89" spans="2:9" s="4" customFormat="1" ht="18" customHeight="1" x14ac:dyDescent="0.2">
      <c r="B89" s="15" t="s">
        <v>146</v>
      </c>
      <c r="C89" s="13">
        <f>SUM(C84:C87)</f>
        <v>744100</v>
      </c>
      <c r="E89" s="192" t="s">
        <v>141</v>
      </c>
      <c r="F89" s="192"/>
      <c r="G89" s="22">
        <v>0.33</v>
      </c>
      <c r="H89" s="42">
        <f>G89*H88</f>
        <v>82358.100000000006</v>
      </c>
    </row>
    <row r="90" spans="2:9" s="4" customFormat="1" ht="18" customHeight="1" x14ac:dyDescent="0.2">
      <c r="B90" s="14"/>
      <c r="C90" s="10"/>
      <c r="E90" s="191" t="s">
        <v>250</v>
      </c>
      <c r="F90" s="191"/>
      <c r="G90" s="34"/>
      <c r="H90" s="40">
        <f>H88-H89</f>
        <v>167211.9</v>
      </c>
    </row>
    <row r="91" spans="2:9" s="4" customFormat="1" ht="18" customHeight="1" x14ac:dyDescent="0.2">
      <c r="B91" s="15" t="s">
        <v>155</v>
      </c>
      <c r="C91" s="12"/>
      <c r="E91" s="193" t="s">
        <v>249</v>
      </c>
      <c r="F91" s="193"/>
      <c r="G91" s="55"/>
      <c r="H91" s="56">
        <f>H90/H72</f>
        <v>0.14291615384615383</v>
      </c>
    </row>
    <row r="92" spans="2:9" s="4" customFormat="1" ht="18" customHeight="1" x14ac:dyDescent="0.2">
      <c r="B92" s="14"/>
      <c r="C92" s="10"/>
    </row>
    <row r="93" spans="2:9" s="4" customFormat="1" ht="18" customHeight="1" x14ac:dyDescent="0.2">
      <c r="B93" s="15" t="s">
        <v>156</v>
      </c>
      <c r="C93" s="13">
        <v>450000</v>
      </c>
    </row>
    <row r="94" spans="2:9" s="4" customFormat="1" ht="18" customHeight="1" x14ac:dyDescent="0.2">
      <c r="B94" s="14" t="s">
        <v>157</v>
      </c>
      <c r="C94" s="11">
        <v>105921</v>
      </c>
    </row>
    <row r="95" spans="2:9" s="4" customFormat="1" ht="18" customHeight="1" x14ac:dyDescent="0.2">
      <c r="B95" s="15" t="s">
        <v>158</v>
      </c>
      <c r="C95" s="13">
        <v>81670</v>
      </c>
      <c r="I95" s="7"/>
    </row>
    <row r="96" spans="2:9" s="4" customFormat="1" ht="18" customHeight="1" x14ac:dyDescent="0.2">
      <c r="B96" s="14" t="s">
        <v>251</v>
      </c>
      <c r="C96" s="11">
        <f>SUM(C93:C95)</f>
        <v>637591</v>
      </c>
    </row>
    <row r="97" spans="2:3" s="4" customFormat="1" ht="18" customHeight="1" x14ac:dyDescent="0.2">
      <c r="B97" s="15"/>
      <c r="C97" s="12"/>
    </row>
    <row r="98" spans="2:3" s="4" customFormat="1" ht="18" customHeight="1" x14ac:dyDescent="0.2">
      <c r="B98" s="52" t="s">
        <v>159</v>
      </c>
      <c r="C98" s="53">
        <f>C89+C91+C96</f>
        <v>1381691</v>
      </c>
    </row>
    <row r="99" spans="2:3" s="4" customFormat="1" ht="18" customHeight="1" x14ac:dyDescent="0.2"/>
    <row r="100" spans="2:3" s="4" customFormat="1" ht="18" customHeight="1" x14ac:dyDescent="0.2"/>
    <row r="101" spans="2:3" s="4" customFormat="1" ht="18" customHeight="1" x14ac:dyDescent="0.2"/>
    <row r="102" spans="2:3" s="4" customFormat="1" ht="18" customHeight="1" x14ac:dyDescent="0.2"/>
    <row r="103" spans="2:3" s="4" customFormat="1" ht="18" customHeight="1" x14ac:dyDescent="0.2"/>
    <row r="104" spans="2:3" s="4" customFormat="1" ht="18" customHeight="1" x14ac:dyDescent="0.2"/>
    <row r="105" spans="2:3" s="4" customFormat="1" ht="18" customHeight="1" x14ac:dyDescent="0.2"/>
    <row r="106" spans="2:3" s="4" customFormat="1" ht="18" customHeight="1" x14ac:dyDescent="0.2"/>
    <row r="107" spans="2:3" s="4" customFormat="1" ht="18" customHeight="1" x14ac:dyDescent="0.2"/>
    <row r="108" spans="2:3" s="4" customFormat="1" ht="18" customHeight="1" x14ac:dyDescent="0.2"/>
    <row r="109" spans="2:3" s="146" customFormat="1" ht="30" customHeight="1" x14ac:dyDescent="0.2"/>
    <row r="110" spans="2:3" s="4" customFormat="1" ht="18" customHeight="1" x14ac:dyDescent="0.2"/>
    <row r="111" spans="2:3" s="4" customFormat="1" ht="18" customHeight="1" x14ac:dyDescent="0.2"/>
    <row r="112" spans="2:3" s="4" customFormat="1" ht="18" customHeight="1" x14ac:dyDescent="0.2"/>
    <row r="113" s="4" customFormat="1" ht="18" customHeight="1" x14ac:dyDescent="0.2"/>
    <row r="114" s="4" customFormat="1" ht="18" customHeight="1" x14ac:dyDescent="0.2"/>
    <row r="115" s="4" customFormat="1" ht="18" customHeight="1" x14ac:dyDescent="0.2"/>
    <row r="116" s="4" customFormat="1" ht="18" customHeight="1" x14ac:dyDescent="0.2"/>
    <row r="117" s="4" customFormat="1" ht="18" customHeight="1" x14ac:dyDescent="0.2"/>
    <row r="118" s="4" customFormat="1" ht="18" customHeight="1" x14ac:dyDescent="0.2"/>
    <row r="119" s="4" customFormat="1" ht="18" customHeight="1" x14ac:dyDescent="0.2"/>
    <row r="120" s="4" customFormat="1" ht="18" customHeight="1" x14ac:dyDescent="0.2"/>
    <row r="121" s="4" customFormat="1" ht="18" customHeight="1" x14ac:dyDescent="0.2"/>
    <row r="122" s="4" customFormat="1" ht="18" customHeight="1" x14ac:dyDescent="0.2"/>
    <row r="123" s="4" customFormat="1" ht="18" customHeight="1" x14ac:dyDescent="0.2"/>
    <row r="124" s="4" customFormat="1" ht="18" customHeight="1" x14ac:dyDescent="0.2"/>
    <row r="125" s="4" customFormat="1" ht="18" customHeight="1" x14ac:dyDescent="0.2"/>
    <row r="126" s="4" customFormat="1" ht="18" customHeight="1" x14ac:dyDescent="0.2"/>
    <row r="127" s="4" customFormat="1" ht="18" customHeight="1" x14ac:dyDescent="0.2"/>
    <row r="128" s="4" customFormat="1" ht="18" customHeight="1" x14ac:dyDescent="0.2"/>
    <row r="129" s="4" customFormat="1" ht="18" customHeight="1" x14ac:dyDescent="0.2"/>
    <row r="130" s="4" customFormat="1" ht="18" customHeight="1" x14ac:dyDescent="0.2"/>
    <row r="131" s="4" customFormat="1" ht="18" customHeight="1" x14ac:dyDescent="0.2"/>
    <row r="132" s="4" customFormat="1" ht="18" customHeight="1" x14ac:dyDescent="0.2"/>
    <row r="133" s="4" customFormat="1" ht="18" customHeight="1" x14ac:dyDescent="0.2"/>
    <row r="134" s="4" customFormat="1" ht="18" customHeight="1" x14ac:dyDescent="0.2"/>
    <row r="135" s="4" customFormat="1" ht="18" customHeight="1" x14ac:dyDescent="0.2"/>
    <row r="136" s="4" customFormat="1" ht="18" customHeight="1" x14ac:dyDescent="0.2"/>
    <row r="137" s="4" customFormat="1" ht="18" customHeight="1" x14ac:dyDescent="0.2"/>
    <row r="138" s="4" customFormat="1" ht="18" customHeight="1" x14ac:dyDescent="0.2"/>
    <row r="139" s="4" customFormat="1" ht="18" customHeight="1" x14ac:dyDescent="0.2"/>
    <row r="140" s="4" customFormat="1" ht="18" customHeight="1" x14ac:dyDescent="0.2"/>
    <row r="141" s="4" customFormat="1" ht="18" customHeight="1" x14ac:dyDescent="0.2"/>
    <row r="142" s="4" customFormat="1" ht="18" customHeight="1" x14ac:dyDescent="0.2"/>
    <row r="143" s="4" customFormat="1" ht="18" customHeight="1" x14ac:dyDescent="0.2"/>
    <row r="144" s="4" customFormat="1" ht="18" customHeight="1" x14ac:dyDescent="0.2"/>
    <row r="145" s="4" customFormat="1" ht="18" customHeight="1" x14ac:dyDescent="0.2"/>
    <row r="146" s="4" customFormat="1" ht="18" customHeight="1" x14ac:dyDescent="0.2"/>
    <row r="147" s="4" customFormat="1" ht="18" customHeight="1" x14ac:dyDescent="0.2"/>
    <row r="148" s="4" customFormat="1" ht="18" customHeight="1" x14ac:dyDescent="0.2"/>
    <row r="149" s="4" customFormat="1" ht="18" customHeight="1" x14ac:dyDescent="0.2"/>
    <row r="150" s="4" customFormat="1" ht="18" customHeight="1" x14ac:dyDescent="0.2"/>
    <row r="151" s="4" customFormat="1" ht="18" customHeight="1" x14ac:dyDescent="0.2"/>
    <row r="152" s="4" customFormat="1" ht="18" customHeight="1" x14ac:dyDescent="0.2"/>
    <row r="153" s="4" customFormat="1" ht="18" customHeight="1" x14ac:dyDescent="0.2"/>
    <row r="154" s="4" customFormat="1" ht="18" customHeight="1" x14ac:dyDescent="0.2"/>
    <row r="155" s="4" customFormat="1" ht="18" customHeight="1" x14ac:dyDescent="0.2"/>
    <row r="156" s="4" customFormat="1" ht="18" customHeight="1" x14ac:dyDescent="0.2"/>
    <row r="157" s="4" customFormat="1" ht="18" customHeight="1" x14ac:dyDescent="0.2"/>
    <row r="158" s="4" customFormat="1" ht="18" customHeight="1" x14ac:dyDescent="0.2"/>
    <row r="159" s="4" customFormat="1" ht="18" customHeight="1" x14ac:dyDescent="0.2"/>
    <row r="160" s="4" customFormat="1" ht="18" customHeight="1" x14ac:dyDescent="0.2"/>
    <row r="161" s="4" customFormat="1" ht="18" customHeight="1" x14ac:dyDescent="0.2"/>
    <row r="162" s="4" customFormat="1" ht="18" customHeight="1" x14ac:dyDescent="0.2"/>
    <row r="163" s="4" customFormat="1" ht="18" customHeight="1" x14ac:dyDescent="0.2"/>
    <row r="164" s="4" customFormat="1" ht="18" customHeight="1" x14ac:dyDescent="0.2"/>
    <row r="165" s="4" customFormat="1" ht="18" customHeight="1" x14ac:dyDescent="0.2"/>
    <row r="166" s="4" customFormat="1" ht="18" customHeight="1" x14ac:dyDescent="0.2"/>
    <row r="167" s="4" customFormat="1" ht="18" customHeight="1" x14ac:dyDescent="0.2"/>
    <row r="168" s="4" customFormat="1" ht="18" customHeight="1" x14ac:dyDescent="0.2"/>
    <row r="169" s="4" customFormat="1" ht="18" customHeight="1" x14ac:dyDescent="0.2"/>
    <row r="170" s="4" customFormat="1" ht="18" customHeight="1" x14ac:dyDescent="0.2"/>
    <row r="171" s="4" customFormat="1" ht="18" customHeight="1" x14ac:dyDescent="0.2"/>
    <row r="172" s="4" customFormat="1" ht="18" customHeight="1" x14ac:dyDescent="0.2"/>
    <row r="173" s="4" customFormat="1" ht="18" customHeight="1" x14ac:dyDescent="0.2"/>
    <row r="174" s="4" customFormat="1" ht="18" customHeight="1" x14ac:dyDescent="0.2"/>
    <row r="175" s="4" customFormat="1" ht="18" customHeight="1" x14ac:dyDescent="0.2"/>
    <row r="176" s="4" customFormat="1" ht="18" customHeight="1" x14ac:dyDescent="0.2"/>
    <row r="177" s="4" customFormat="1" ht="18" customHeight="1" x14ac:dyDescent="0.2"/>
    <row r="178" s="4" customFormat="1" ht="18" customHeight="1" x14ac:dyDescent="0.2"/>
    <row r="179" s="4" customFormat="1" ht="18" customHeight="1" x14ac:dyDescent="0.2"/>
    <row r="180" s="4" customFormat="1" ht="18" customHeight="1" x14ac:dyDescent="0.2"/>
    <row r="181" s="4" customFormat="1" ht="18" customHeight="1" x14ac:dyDescent="0.2"/>
    <row r="182" s="4" customFormat="1" ht="18" customHeight="1" x14ac:dyDescent="0.2"/>
    <row r="183" s="4" customFormat="1" ht="18" customHeight="1" x14ac:dyDescent="0.2"/>
    <row r="184" s="4" customFormat="1" ht="18" customHeight="1" x14ac:dyDescent="0.2"/>
    <row r="185" s="4" customFormat="1" ht="18" customHeight="1" x14ac:dyDescent="0.2"/>
    <row r="186" s="4" customFormat="1" ht="18" customHeight="1" x14ac:dyDescent="0.2"/>
    <row r="187" s="4" customFormat="1" ht="18" customHeight="1" x14ac:dyDescent="0.2"/>
    <row r="188" s="4" customFormat="1" ht="18" customHeight="1" x14ac:dyDescent="0.2"/>
    <row r="189" s="4" customFormat="1" ht="18" customHeight="1" x14ac:dyDescent="0.2"/>
    <row r="190" s="4" customFormat="1" ht="18" customHeight="1" x14ac:dyDescent="0.2"/>
    <row r="191" s="4" customFormat="1" ht="18" customHeight="1" x14ac:dyDescent="0.2"/>
    <row r="192" s="4" customFormat="1" ht="18" customHeight="1" x14ac:dyDescent="0.2"/>
    <row r="193" s="4" customFormat="1" ht="18" customHeight="1" x14ac:dyDescent="0.2"/>
    <row r="194" s="4" customFormat="1" ht="18" customHeight="1" x14ac:dyDescent="0.2"/>
    <row r="195" s="4" customFormat="1" ht="18" customHeight="1" x14ac:dyDescent="0.2"/>
    <row r="196" s="4" customFormat="1" ht="18" customHeight="1" x14ac:dyDescent="0.2"/>
    <row r="197" s="4" customFormat="1" ht="18" customHeight="1" x14ac:dyDescent="0.2"/>
    <row r="198" s="4" customFormat="1" ht="18" customHeight="1" x14ac:dyDescent="0.2"/>
    <row r="199" s="4" customFormat="1" ht="18" customHeight="1" x14ac:dyDescent="0.2"/>
    <row r="200" s="4" customFormat="1" ht="18" customHeight="1" x14ac:dyDescent="0.2"/>
    <row r="201" s="4" customFormat="1" ht="18" customHeight="1" x14ac:dyDescent="0.2"/>
    <row r="202" s="4" customFormat="1" ht="18" customHeight="1" x14ac:dyDescent="0.2"/>
    <row r="203" s="4" customFormat="1" ht="18" customHeight="1" x14ac:dyDescent="0.2"/>
    <row r="204" s="4" customFormat="1" ht="18" customHeight="1" x14ac:dyDescent="0.2"/>
    <row r="205" s="4" customFormat="1" ht="18" customHeight="1" x14ac:dyDescent="0.2"/>
    <row r="206" s="4" customFormat="1" ht="18" customHeight="1" x14ac:dyDescent="0.2"/>
    <row r="207" s="4" customFormat="1" ht="18" customHeight="1" x14ac:dyDescent="0.2"/>
    <row r="208" s="4" customFormat="1" ht="18" customHeight="1" x14ac:dyDescent="0.2"/>
    <row r="209" s="4" customFormat="1" ht="18" customHeight="1" x14ac:dyDescent="0.2"/>
    <row r="210" s="4" customFormat="1" ht="18" customHeight="1" x14ac:dyDescent="0.2"/>
    <row r="211" s="4" customFormat="1" ht="18" customHeight="1" x14ac:dyDescent="0.2"/>
    <row r="212" s="4" customFormat="1" ht="18" customHeight="1" x14ac:dyDescent="0.2"/>
    <row r="213" s="4" customFormat="1" ht="18" customHeight="1" x14ac:dyDescent="0.2"/>
    <row r="214" s="4" customFormat="1" ht="18" customHeight="1" x14ac:dyDescent="0.2"/>
    <row r="215" s="4" customFormat="1" ht="18" customHeight="1" x14ac:dyDescent="0.2"/>
    <row r="216" s="4" customFormat="1" ht="18" customHeight="1" x14ac:dyDescent="0.2"/>
    <row r="217" s="4" customFormat="1" ht="18" customHeight="1" x14ac:dyDescent="0.2"/>
    <row r="218" s="4" customFormat="1" ht="18" customHeight="1" x14ac:dyDescent="0.2"/>
    <row r="219" s="4" customFormat="1" ht="18" customHeight="1" x14ac:dyDescent="0.2"/>
    <row r="220" s="4" customFormat="1" ht="18" customHeight="1" x14ac:dyDescent="0.2"/>
    <row r="221" s="4" customFormat="1" ht="18" customHeight="1" x14ac:dyDescent="0.2"/>
    <row r="222" s="4" customFormat="1" ht="18" customHeight="1" x14ac:dyDescent="0.2"/>
    <row r="223" s="4" customFormat="1" ht="18" customHeight="1" x14ac:dyDescent="0.2"/>
    <row r="224" s="4" customFormat="1" ht="18" customHeight="1" x14ac:dyDescent="0.2"/>
    <row r="225" s="4" customFormat="1" ht="18" customHeight="1" x14ac:dyDescent="0.2"/>
    <row r="226" s="4" customFormat="1" ht="18" customHeight="1" x14ac:dyDescent="0.2"/>
    <row r="227" s="4" customFormat="1" ht="18" customHeight="1" x14ac:dyDescent="0.2"/>
    <row r="228" s="4" customFormat="1" ht="18" customHeight="1" x14ac:dyDescent="0.2"/>
    <row r="229" s="4" customFormat="1" ht="18" customHeight="1" x14ac:dyDescent="0.2"/>
    <row r="230" s="4" customFormat="1" ht="18" customHeight="1" x14ac:dyDescent="0.2"/>
    <row r="231" s="4" customFormat="1" ht="18" customHeight="1" x14ac:dyDescent="0.2"/>
    <row r="232" s="4" customFormat="1" ht="18" customHeight="1" x14ac:dyDescent="0.2"/>
    <row r="233" s="4" customFormat="1" ht="18" customHeight="1" x14ac:dyDescent="0.2"/>
    <row r="234" s="4" customFormat="1" ht="18" customHeight="1" x14ac:dyDescent="0.2"/>
    <row r="235" s="4" customFormat="1" ht="18" customHeight="1" x14ac:dyDescent="0.2"/>
    <row r="236" s="4" customFormat="1" ht="18" customHeight="1" x14ac:dyDescent="0.2"/>
    <row r="237" s="4" customFormat="1" ht="18" customHeight="1" x14ac:dyDescent="0.2"/>
    <row r="238" s="4" customFormat="1" ht="18" customHeight="1" x14ac:dyDescent="0.2"/>
    <row r="239" s="4" customFormat="1" ht="18" customHeight="1" x14ac:dyDescent="0.2"/>
    <row r="240" s="4" customFormat="1" ht="18" customHeight="1" x14ac:dyDescent="0.2"/>
    <row r="241" s="4" customFormat="1" ht="18" customHeight="1" x14ac:dyDescent="0.2"/>
    <row r="242" s="4" customFormat="1" ht="18" customHeight="1" x14ac:dyDescent="0.2"/>
    <row r="243" s="4" customFormat="1" ht="18" customHeight="1" x14ac:dyDescent="0.2"/>
    <row r="244" s="4" customFormat="1" ht="18" customHeight="1" x14ac:dyDescent="0.2"/>
    <row r="245" s="4" customFormat="1" ht="18" customHeight="1" x14ac:dyDescent="0.2"/>
    <row r="246" s="4" customFormat="1" ht="18" customHeight="1" x14ac:dyDescent="0.2"/>
    <row r="247" s="4" customFormat="1" ht="18" customHeight="1" x14ac:dyDescent="0.2"/>
    <row r="248" s="4" customFormat="1" ht="18" customHeight="1" x14ac:dyDescent="0.2"/>
    <row r="249" s="4" customFormat="1" ht="18" customHeight="1" x14ac:dyDescent="0.2"/>
    <row r="250" s="4" customFormat="1" ht="18" customHeight="1" x14ac:dyDescent="0.2"/>
    <row r="251" s="4" customFormat="1" ht="18" customHeight="1" x14ac:dyDescent="0.2"/>
    <row r="252" s="4" customFormat="1" ht="18" customHeight="1" x14ac:dyDescent="0.2"/>
    <row r="253" s="4" customFormat="1" ht="18" customHeight="1" x14ac:dyDescent="0.2"/>
    <row r="254" s="4" customFormat="1" ht="18" customHeight="1" x14ac:dyDescent="0.2"/>
    <row r="255" s="4" customFormat="1" ht="18" customHeight="1" x14ac:dyDescent="0.2"/>
    <row r="256" s="4" customFormat="1" ht="18" customHeight="1" x14ac:dyDescent="0.2"/>
    <row r="257" s="4" customFormat="1" ht="18" customHeight="1" x14ac:dyDescent="0.2"/>
    <row r="258" s="4" customFormat="1" ht="18" customHeight="1" x14ac:dyDescent="0.2"/>
    <row r="259" s="4" customFormat="1" ht="18" customHeight="1" x14ac:dyDescent="0.2"/>
    <row r="260" s="4" customFormat="1" ht="18" customHeight="1" x14ac:dyDescent="0.2"/>
    <row r="261" s="4" customFormat="1" ht="18" customHeight="1" x14ac:dyDescent="0.2"/>
    <row r="262" s="4" customFormat="1" ht="18" customHeight="1" x14ac:dyDescent="0.2"/>
    <row r="263" s="4" customFormat="1" ht="18" customHeight="1" x14ac:dyDescent="0.2"/>
    <row r="264" s="4" customFormat="1" ht="18" customHeight="1" x14ac:dyDescent="0.2"/>
    <row r="265" s="4" customFormat="1" ht="18" customHeight="1" x14ac:dyDescent="0.2"/>
    <row r="266" s="4" customFormat="1" ht="18" customHeight="1" x14ac:dyDescent="0.2"/>
    <row r="267" s="4" customFormat="1" ht="18" customHeight="1" x14ac:dyDescent="0.2"/>
    <row r="268" s="4" customFormat="1" ht="18" customHeight="1" x14ac:dyDescent="0.2"/>
    <row r="269" s="4" customFormat="1" ht="18" customHeight="1" x14ac:dyDescent="0.2"/>
    <row r="270" s="4" customFormat="1" ht="18" customHeight="1" x14ac:dyDescent="0.2"/>
    <row r="271" s="4" customFormat="1" ht="18" customHeight="1" x14ac:dyDescent="0.2"/>
    <row r="272" s="4" customFormat="1" ht="18" customHeight="1" x14ac:dyDescent="0.2"/>
    <row r="273" s="4" customFormat="1" ht="18" customHeight="1" x14ac:dyDescent="0.2"/>
    <row r="274" s="4" customFormat="1" ht="18" customHeight="1" x14ac:dyDescent="0.2"/>
    <row r="275" s="4" customFormat="1" ht="18" customHeight="1" x14ac:dyDescent="0.2"/>
    <row r="276" s="4" customFormat="1" ht="18" customHeight="1" x14ac:dyDescent="0.2"/>
    <row r="277" s="4" customFormat="1" ht="18" customHeight="1" x14ac:dyDescent="0.2"/>
    <row r="278" s="4" customFormat="1" ht="18" customHeight="1" x14ac:dyDescent="0.2"/>
    <row r="279" s="4" customFormat="1" ht="18" customHeight="1" x14ac:dyDescent="0.2"/>
    <row r="280" s="4" customFormat="1" ht="18" customHeight="1" x14ac:dyDescent="0.2"/>
    <row r="281" s="4" customFormat="1" ht="18" customHeight="1" x14ac:dyDescent="0.2"/>
    <row r="282" s="4" customFormat="1" ht="18" customHeight="1" x14ac:dyDescent="0.2"/>
    <row r="283" s="4" customFormat="1" ht="18" customHeight="1" x14ac:dyDescent="0.2"/>
    <row r="284" s="4" customFormat="1" ht="18" customHeight="1" x14ac:dyDescent="0.2"/>
    <row r="285" s="4" customFormat="1" ht="18" customHeight="1" x14ac:dyDescent="0.2"/>
    <row r="286" s="4" customFormat="1" ht="18" customHeight="1" x14ac:dyDescent="0.2"/>
    <row r="287" s="4" customFormat="1" ht="18" customHeight="1" x14ac:dyDescent="0.2"/>
    <row r="288" s="4" customFormat="1" ht="18" customHeight="1" x14ac:dyDescent="0.2"/>
    <row r="289" s="4" customFormat="1" ht="18" customHeight="1" x14ac:dyDescent="0.2"/>
    <row r="290" s="4" customFormat="1" ht="18" customHeight="1" x14ac:dyDescent="0.2"/>
    <row r="291" s="4" customFormat="1" ht="18" customHeight="1" x14ac:dyDescent="0.2"/>
    <row r="292" s="4" customFormat="1" ht="18" customHeight="1" x14ac:dyDescent="0.2"/>
  </sheetData>
  <mergeCells count="17">
    <mergeCell ref="E86:F86"/>
    <mergeCell ref="E88:F88"/>
    <mergeCell ref="E89:F89"/>
    <mergeCell ref="E90:F90"/>
    <mergeCell ref="E91:F91"/>
    <mergeCell ref="E80:F80"/>
    <mergeCell ref="E81:F81"/>
    <mergeCell ref="E82:F82"/>
    <mergeCell ref="E84:F84"/>
    <mergeCell ref="E72:F72"/>
    <mergeCell ref="E77:F77"/>
    <mergeCell ref="E79:F79"/>
    <mergeCell ref="A1:XFD1"/>
    <mergeCell ref="B69:C69"/>
    <mergeCell ref="E69:H69"/>
    <mergeCell ref="E70:F70"/>
    <mergeCell ref="E71:F7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16384" width="11.42578125" style="1"/>
  </cols>
  <sheetData>
    <row r="1" spans="1:9" s="188" customFormat="1" ht="52.5" customHeight="1" thickBot="1" x14ac:dyDescent="0.25">
      <c r="A1" s="188" t="s">
        <v>222</v>
      </c>
    </row>
    <row r="2" spans="1:9" ht="18" customHeight="1" thickTop="1" x14ac:dyDescent="0.2"/>
    <row r="3" spans="1:9" ht="22.5" customHeight="1" x14ac:dyDescent="0.2">
      <c r="B3" s="3" t="s">
        <v>189</v>
      </c>
    </row>
    <row r="4" spans="1:9" s="4" customFormat="1" ht="18" customHeight="1" x14ac:dyDescent="0.2"/>
    <row r="5" spans="1:9" s="4" customFormat="1" ht="18" customHeight="1" x14ac:dyDescent="0.2">
      <c r="B5" s="71" t="s">
        <v>309</v>
      </c>
    </row>
    <row r="6" spans="1:9" s="4" customFormat="1" ht="18" customHeight="1" x14ac:dyDescent="0.2">
      <c r="B6" s="173"/>
    </row>
    <row r="7" spans="1:9" s="4" customFormat="1" ht="18" customHeight="1" x14ac:dyDescent="0.2">
      <c r="B7" s="195" t="s">
        <v>244</v>
      </c>
      <c r="C7" s="126" t="s">
        <v>312</v>
      </c>
      <c r="D7" s="126" t="s">
        <v>313</v>
      </c>
      <c r="E7" s="126" t="s">
        <v>314</v>
      </c>
    </row>
    <row r="8" spans="1:9" s="4" customFormat="1" ht="18" customHeight="1" x14ac:dyDescent="0.2">
      <c r="B8" s="196"/>
      <c r="C8" s="70" t="s">
        <v>315</v>
      </c>
      <c r="D8" s="70" t="s">
        <v>316</v>
      </c>
      <c r="E8" s="70" t="s">
        <v>317</v>
      </c>
    </row>
    <row r="9" spans="1:9" s="4" customFormat="1" ht="18" customHeight="1" x14ac:dyDescent="0.2">
      <c r="B9" s="34" t="s">
        <v>59</v>
      </c>
      <c r="C9" s="23">
        <v>0.28000000000000003</v>
      </c>
      <c r="D9" s="23">
        <v>0.12</v>
      </c>
      <c r="E9" s="111">
        <f>'Plano de RH'!D20/'Plano de RH'!D32</f>
        <v>7.9343630226644493E-2</v>
      </c>
    </row>
    <row r="10" spans="1:9" s="4" customFormat="1" ht="18" customHeight="1" x14ac:dyDescent="0.2">
      <c r="B10" s="35" t="s">
        <v>60</v>
      </c>
      <c r="C10" s="22">
        <v>0.31</v>
      </c>
      <c r="D10" s="22">
        <v>0.39</v>
      </c>
      <c r="E10" s="112">
        <f>'Plano de RH'!D21/'Plano de RH'!D32</f>
        <v>0.31737452090657797</v>
      </c>
    </row>
    <row r="11" spans="1:9" s="4" customFormat="1" ht="18" customHeight="1" x14ac:dyDescent="0.2">
      <c r="B11" s="34" t="s">
        <v>61</v>
      </c>
      <c r="C11" s="23">
        <v>0.1</v>
      </c>
      <c r="D11" s="23">
        <v>0.2</v>
      </c>
      <c r="E11" s="111">
        <f>'Plano de RH'!D22/'Plano de RH'!D32</f>
        <v>0.15868726045328899</v>
      </c>
      <c r="I11" s="110" t="s">
        <v>237</v>
      </c>
    </row>
    <row r="12" spans="1:9" s="4" customFormat="1" ht="18" customHeight="1" x14ac:dyDescent="0.2">
      <c r="B12" s="35" t="s">
        <v>81</v>
      </c>
      <c r="C12" s="22">
        <v>0.05</v>
      </c>
      <c r="D12" s="22">
        <v>0.13</v>
      </c>
      <c r="E12" s="112">
        <f>'Plano de RH'!D24/'Plano de RH'!D32</f>
        <v>0.10670270121923726</v>
      </c>
    </row>
    <row r="13" spans="1:9" s="4" customFormat="1" ht="18" customHeight="1" x14ac:dyDescent="0.2">
      <c r="B13" s="34" t="s">
        <v>73</v>
      </c>
      <c r="C13" s="23">
        <v>0.03</v>
      </c>
      <c r="D13" s="23">
        <v>0.06</v>
      </c>
      <c r="E13" s="111">
        <f>'Plano de RH'!D25/'Plano de RH'!D32</f>
        <v>5.3351350609618632E-2</v>
      </c>
    </row>
    <row r="14" spans="1:9" s="4" customFormat="1" ht="18" customHeight="1" x14ac:dyDescent="0.2">
      <c r="B14" s="35" t="s">
        <v>74</v>
      </c>
      <c r="C14" s="22">
        <v>7.0000000000000007E-2</v>
      </c>
      <c r="D14" s="22">
        <v>0.09</v>
      </c>
      <c r="E14" s="112">
        <f>'Plano de RH'!D26/'Plano de RH'!D32</f>
        <v>7.1135134146158172E-2</v>
      </c>
    </row>
    <row r="15" spans="1:9" s="4" customFormat="1" ht="18" customHeight="1" x14ac:dyDescent="0.2">
      <c r="B15" s="34" t="s">
        <v>75</v>
      </c>
      <c r="C15" s="23">
        <v>7.0000000000000007E-2</v>
      </c>
      <c r="D15" s="34">
        <v>0</v>
      </c>
      <c r="E15" s="111">
        <f>'Plano de RH'!D28/'Plano de RH'!D32</f>
        <v>0.14227026829231634</v>
      </c>
    </row>
    <row r="16" spans="1:9" s="4" customFormat="1" ht="18" customHeight="1" x14ac:dyDescent="0.2">
      <c r="B16" s="35" t="s">
        <v>76</v>
      </c>
      <c r="C16" s="22">
        <v>0.03</v>
      </c>
      <c r="D16" s="35">
        <v>0</v>
      </c>
      <c r="E16" s="112">
        <f>'Plano de RH'!D29/'Plano de RH'!D32</f>
        <v>1.7783783536539543E-2</v>
      </c>
    </row>
    <row r="17" spans="2:7" s="4" customFormat="1" ht="18" customHeight="1" x14ac:dyDescent="0.2">
      <c r="B17" s="34" t="s">
        <v>77</v>
      </c>
      <c r="C17" s="23">
        <v>0.06</v>
      </c>
      <c r="D17" s="23">
        <v>0.01</v>
      </c>
      <c r="E17" s="111">
        <f>'Plano de RH'!D30/'Plano de RH'!D32</f>
        <v>5.3351350609618632E-2</v>
      </c>
    </row>
    <row r="18" spans="2:7" s="4" customFormat="1" ht="18" customHeight="1" x14ac:dyDescent="0.2">
      <c r="B18" s="138" t="s">
        <v>83</v>
      </c>
      <c r="C18" s="141">
        <f>SUM(C9:C17)</f>
        <v>1.0000000000000002</v>
      </c>
      <c r="D18" s="141">
        <f>SUM(D9:D17)</f>
        <v>0.99999999999999989</v>
      </c>
      <c r="E18" s="141">
        <f>SUM(E9:E17)</f>
        <v>1</v>
      </c>
    </row>
    <row r="19" spans="2:7" s="4" customFormat="1" ht="18" customHeight="1" x14ac:dyDescent="0.2">
      <c r="B19" s="174"/>
      <c r="C19" s="175"/>
      <c r="D19" s="175"/>
      <c r="E19" s="175"/>
    </row>
    <row r="20" spans="2:7" s="4" customFormat="1" ht="18" customHeight="1" x14ac:dyDescent="0.2">
      <c r="B20" s="174"/>
      <c r="C20" s="175"/>
      <c r="D20" s="175"/>
      <c r="E20" s="175"/>
    </row>
    <row r="21" spans="2:7" s="4" customFormat="1" ht="18" customHeight="1" x14ac:dyDescent="0.2">
      <c r="B21" s="195" t="s">
        <v>310</v>
      </c>
      <c r="C21" s="194" t="s">
        <v>8</v>
      </c>
      <c r="D21" s="194"/>
      <c r="E21" s="194"/>
      <c r="F21" s="194"/>
      <c r="G21" s="194"/>
    </row>
    <row r="22" spans="2:7" s="4" customFormat="1" ht="18" customHeight="1" x14ac:dyDescent="0.2">
      <c r="B22" s="196"/>
      <c r="C22" s="70" t="s">
        <v>15</v>
      </c>
      <c r="D22" s="70" t="s">
        <v>268</v>
      </c>
      <c r="E22" s="70" t="s">
        <v>267</v>
      </c>
      <c r="F22" s="70" t="s">
        <v>266</v>
      </c>
      <c r="G22" s="70" t="s">
        <v>265</v>
      </c>
    </row>
    <row r="23" spans="2:7" s="4" customFormat="1" ht="18" customHeight="1" x14ac:dyDescent="0.2">
      <c r="B23" s="19" t="s">
        <v>80</v>
      </c>
      <c r="C23" s="148">
        <f>SUM(D23:G23)</f>
        <v>1924</v>
      </c>
      <c r="D23" s="148">
        <v>474</v>
      </c>
      <c r="E23" s="148">
        <v>479</v>
      </c>
      <c r="F23" s="148">
        <v>483</v>
      </c>
      <c r="G23" s="148">
        <v>488</v>
      </c>
    </row>
    <row r="24" spans="2:7" s="4" customFormat="1" ht="18" customHeight="1" x14ac:dyDescent="0.2">
      <c r="B24" s="20" t="s">
        <v>79</v>
      </c>
      <c r="C24" s="149">
        <v>8202</v>
      </c>
      <c r="D24" s="149">
        <v>2020</v>
      </c>
      <c r="E24" s="149">
        <v>2040</v>
      </c>
      <c r="F24" s="149">
        <v>2061</v>
      </c>
      <c r="G24" s="149">
        <v>2081</v>
      </c>
    </row>
    <row r="25" spans="2:7" s="4" customFormat="1" ht="18" customHeight="1" x14ac:dyDescent="0.2">
      <c r="B25" s="57" t="s">
        <v>78</v>
      </c>
      <c r="C25" s="160">
        <f>SUM(D25:G25)</f>
        <v>80877.048263888893</v>
      </c>
      <c r="D25" s="160">
        <f>Investimento!D37</f>
        <v>19825</v>
      </c>
      <c r="E25" s="160">
        <f>Investimento!E37</f>
        <v>20217.260763888888</v>
      </c>
      <c r="F25" s="160">
        <f>Investimento!F37</f>
        <v>20392.393749999999</v>
      </c>
      <c r="G25" s="160">
        <f>Investimento!G37</f>
        <v>20442.393749999999</v>
      </c>
    </row>
    <row r="26" spans="2:7" s="4" customFormat="1" ht="18" customHeight="1" x14ac:dyDescent="0.2">
      <c r="B26" s="72" t="s">
        <v>318</v>
      </c>
    </row>
    <row r="27" spans="2:7" s="4" customFormat="1" ht="18" customHeight="1" x14ac:dyDescent="0.2">
      <c r="B27" s="72"/>
    </row>
    <row r="28" spans="2:7" s="4" customFormat="1" ht="18" customHeight="1" x14ac:dyDescent="0.2"/>
    <row r="29" spans="2:7" s="4" customFormat="1" ht="18" customHeight="1" x14ac:dyDescent="0.2">
      <c r="B29" s="71" t="s">
        <v>82</v>
      </c>
    </row>
    <row r="30" spans="2:7" s="4" customFormat="1" ht="18" customHeight="1" x14ac:dyDescent="0.2"/>
    <row r="31" spans="2:7" s="4" customFormat="1" ht="18" customHeight="1" x14ac:dyDescent="0.2">
      <c r="B31" s="195" t="s">
        <v>311</v>
      </c>
      <c r="C31" s="194" t="s">
        <v>8</v>
      </c>
      <c r="D31" s="194"/>
      <c r="E31" s="194"/>
      <c r="F31" s="194"/>
      <c r="G31" s="194"/>
    </row>
    <row r="32" spans="2:7" s="4" customFormat="1" ht="18" customHeight="1" x14ac:dyDescent="0.2">
      <c r="B32" s="196"/>
      <c r="C32" s="70" t="s">
        <v>15</v>
      </c>
      <c r="D32" s="70" t="s">
        <v>268</v>
      </c>
      <c r="E32" s="70" t="s">
        <v>267</v>
      </c>
      <c r="F32" s="70" t="s">
        <v>266</v>
      </c>
      <c r="G32" s="70" t="s">
        <v>265</v>
      </c>
    </row>
    <row r="33" spans="2:10" s="4" customFormat="1" ht="18" customHeight="1" x14ac:dyDescent="0.2"/>
    <row r="34" spans="2:10" s="4" customFormat="1" ht="18" customHeight="1" x14ac:dyDescent="0.2">
      <c r="B34" s="144" t="s">
        <v>84</v>
      </c>
      <c r="C34" s="82"/>
      <c r="D34" s="82"/>
      <c r="E34" s="82"/>
      <c r="F34" s="82"/>
      <c r="G34" s="82"/>
    </row>
    <row r="35" spans="2:10" s="4" customFormat="1" ht="18" customHeight="1" x14ac:dyDescent="0.2">
      <c r="B35" s="105" t="s">
        <v>236</v>
      </c>
      <c r="C35" s="148">
        <f>'Plano de RH'!C38</f>
        <v>97486.114866549135</v>
      </c>
      <c r="D35" s="148">
        <f>'Plano de RH'!D38</f>
        <v>23804.271112580838</v>
      </c>
      <c r="E35" s="148">
        <f>'Plano de RH'!E38</f>
        <v>24397.961507936518</v>
      </c>
      <c r="F35" s="148">
        <f>'Plano de RH'!F38</f>
        <v>24641.941123015884</v>
      </c>
      <c r="G35" s="148">
        <f>'Plano de RH'!G38</f>
        <v>24641.941123015884</v>
      </c>
    </row>
    <row r="36" spans="2:10" s="4" customFormat="1" ht="18" customHeight="1" x14ac:dyDescent="0.2">
      <c r="B36" s="106" t="s">
        <v>80</v>
      </c>
      <c r="C36" s="149">
        <f>C23*($E$9+$E$10+$E$11)</f>
        <v>1068.600011892448</v>
      </c>
      <c r="D36" s="149">
        <f>D23*($E$9+$E$10+$E$11)</f>
        <v>263.26216509200646</v>
      </c>
      <c r="E36" s="149">
        <f>E23*($E$9+$E$10+$E$11)</f>
        <v>266.03919214993897</v>
      </c>
      <c r="F36" s="149">
        <f>F23*($E$9+$E$10+$E$11)</f>
        <v>268.26081379628505</v>
      </c>
      <c r="G36" s="149">
        <f>G23*($E$9+$E$10+$E$11)</f>
        <v>271.03784085421762</v>
      </c>
    </row>
    <row r="37" spans="2:10" s="4" customFormat="1" ht="18" customHeight="1" x14ac:dyDescent="0.2">
      <c r="B37" s="105" t="s">
        <v>79</v>
      </c>
      <c r="C37" s="148">
        <f>C24*SUM($D$9:$D$11)</f>
        <v>5823.42</v>
      </c>
      <c r="D37" s="148">
        <f>D24*SUM($D$9:$D$11)</f>
        <v>1434.1999999999998</v>
      </c>
      <c r="E37" s="148">
        <f>E24*SUM($D$9:$D$11)</f>
        <v>1448.3999999999999</v>
      </c>
      <c r="F37" s="148">
        <f>F24*SUM($D$9:$D$11)</f>
        <v>1463.31</v>
      </c>
      <c r="G37" s="148">
        <f>G24*SUM($D$9:$D$11)</f>
        <v>1477.51</v>
      </c>
      <c r="J37" s="4" t="s">
        <v>0</v>
      </c>
    </row>
    <row r="38" spans="2:10" s="4" customFormat="1" ht="18" customHeight="1" x14ac:dyDescent="0.2">
      <c r="B38" s="106" t="s">
        <v>78</v>
      </c>
      <c r="C38" s="149">
        <f>C25*SUM($C$9:$C$11)</f>
        <v>55805.16330208334</v>
      </c>
      <c r="D38" s="149">
        <f>D25*SUM($C$9:$C$11)</f>
        <v>13679.250000000002</v>
      </c>
      <c r="E38" s="149">
        <f>E25*SUM($C$9:$C$11)</f>
        <v>13949.909927083334</v>
      </c>
      <c r="F38" s="149">
        <f>F25*SUM($C$9:$C$11)</f>
        <v>14070.7516875</v>
      </c>
      <c r="G38" s="149">
        <f>G25*SUM($C$9:$C$11)</f>
        <v>14105.2516875</v>
      </c>
    </row>
    <row r="39" spans="2:10" s="4" customFormat="1" ht="18" customHeight="1" x14ac:dyDescent="0.2">
      <c r="B39" s="143" t="s">
        <v>15</v>
      </c>
      <c r="C39" s="176">
        <f>SUM(C35:C38)</f>
        <v>160183.2981805249</v>
      </c>
      <c r="D39" s="176">
        <f>SUM(D35:D38)</f>
        <v>39180.983277672851</v>
      </c>
      <c r="E39" s="176">
        <f>SUM(E35:E38)</f>
        <v>40062.310627169791</v>
      </c>
      <c r="F39" s="176">
        <f>SUM(F35:F38)</f>
        <v>40444.263624312167</v>
      </c>
      <c r="G39" s="176">
        <f>SUM(G35:G38)</f>
        <v>40495.740651370099</v>
      </c>
    </row>
    <row r="40" spans="2:10" s="4" customFormat="1" ht="18" customHeight="1" x14ac:dyDescent="0.2">
      <c r="C40" s="152"/>
      <c r="D40" s="152"/>
      <c r="E40" s="152"/>
      <c r="F40" s="152"/>
      <c r="G40" s="152"/>
    </row>
    <row r="41" spans="2:10" s="4" customFormat="1" ht="18" customHeight="1" x14ac:dyDescent="0.2">
      <c r="B41" s="144" t="s">
        <v>85</v>
      </c>
      <c r="C41" s="177"/>
      <c r="D41" s="177"/>
      <c r="E41" s="177"/>
      <c r="F41" s="177"/>
      <c r="G41" s="177"/>
    </row>
    <row r="42" spans="2:10" s="4" customFormat="1" ht="18" customHeight="1" x14ac:dyDescent="0.2">
      <c r="B42" s="105" t="s">
        <v>236</v>
      </c>
      <c r="C42" s="148">
        <f>'Plano de RH'!C41</f>
        <v>59748.858000000007</v>
      </c>
      <c r="D42" s="148">
        <f>'Plano de RH'!D41</f>
        <v>14862.900000000001</v>
      </c>
      <c r="E42" s="148">
        <f>'Plano de RH'!E41</f>
        <v>14862.900000000001</v>
      </c>
      <c r="F42" s="148">
        <f>'Plano de RH'!F41</f>
        <v>15011.529</v>
      </c>
      <c r="G42" s="148">
        <f>'Plano de RH'!G41</f>
        <v>15011.529</v>
      </c>
    </row>
    <row r="43" spans="2:10" s="4" customFormat="1" ht="18" customHeight="1" x14ac:dyDescent="0.2">
      <c r="B43" s="106" t="s">
        <v>80</v>
      </c>
      <c r="C43" s="149">
        <f>C23*$E$12</f>
        <v>205.29599714581249</v>
      </c>
      <c r="D43" s="149">
        <f>D23*$E$12</f>
        <v>50.577080377918463</v>
      </c>
      <c r="E43" s="149">
        <f>E23*$E$12</f>
        <v>51.110593884014648</v>
      </c>
      <c r="F43" s="149">
        <f>F23*$E$12</f>
        <v>51.537404688891598</v>
      </c>
      <c r="G43" s="149">
        <f>G23*$E$12</f>
        <v>52.070918194987783</v>
      </c>
    </row>
    <row r="44" spans="2:10" s="4" customFormat="1" ht="18" customHeight="1" x14ac:dyDescent="0.2">
      <c r="B44" s="105" t="s">
        <v>79</v>
      </c>
      <c r="C44" s="148">
        <f>C24*$D$12</f>
        <v>1066.26</v>
      </c>
      <c r="D44" s="148">
        <f>D24*$D$12</f>
        <v>262.60000000000002</v>
      </c>
      <c r="E44" s="148">
        <f>E24*$D$12</f>
        <v>265.2</v>
      </c>
      <c r="F44" s="148">
        <f>F24*$D$12</f>
        <v>267.93</v>
      </c>
      <c r="G44" s="148">
        <f>G24*$D$12</f>
        <v>270.53000000000003</v>
      </c>
    </row>
    <row r="45" spans="2:10" s="4" customFormat="1" ht="18" customHeight="1" x14ac:dyDescent="0.2">
      <c r="B45" s="106" t="s">
        <v>78</v>
      </c>
      <c r="C45" s="149">
        <f>C25*$C$12</f>
        <v>4043.852413194445</v>
      </c>
      <c r="D45" s="149">
        <f>D25*$C$12</f>
        <v>991.25</v>
      </c>
      <c r="E45" s="149">
        <f>E25*$C$12</f>
        <v>1010.8630381944445</v>
      </c>
      <c r="F45" s="149">
        <f>F25*$C$12</f>
        <v>1019.6196875000001</v>
      </c>
      <c r="G45" s="149">
        <f>G25*$C$12</f>
        <v>1022.1196875000001</v>
      </c>
    </row>
    <row r="46" spans="2:10" s="4" customFormat="1" ht="18" customHeight="1" x14ac:dyDescent="0.2">
      <c r="B46" s="143" t="s">
        <v>15</v>
      </c>
      <c r="C46" s="176">
        <f>SUM(C42:C45)</f>
        <v>65064.266410340264</v>
      </c>
      <c r="D46" s="176">
        <f>SUM(D42:D45)</f>
        <v>16167.32708037792</v>
      </c>
      <c r="E46" s="176">
        <f>SUM(E42:E45)</f>
        <v>16190.073632078462</v>
      </c>
      <c r="F46" s="176">
        <f>SUM(F42:F45)</f>
        <v>16350.616092188893</v>
      </c>
      <c r="G46" s="176">
        <f>SUM(G42:G45)</f>
        <v>16356.249605694989</v>
      </c>
    </row>
    <row r="47" spans="2:10" s="4" customFormat="1" ht="18" customHeight="1" x14ac:dyDescent="0.2">
      <c r="C47" s="152"/>
      <c r="D47" s="152"/>
      <c r="E47" s="152"/>
      <c r="F47" s="152"/>
      <c r="G47" s="152"/>
    </row>
    <row r="48" spans="2:10" s="4" customFormat="1" ht="18" customHeight="1" x14ac:dyDescent="0.2">
      <c r="B48" s="144" t="s">
        <v>63</v>
      </c>
      <c r="C48" s="177"/>
      <c r="D48" s="177"/>
      <c r="E48" s="177"/>
      <c r="F48" s="177"/>
      <c r="G48" s="177"/>
    </row>
    <row r="49" spans="2:12" s="4" customFormat="1" ht="18" customHeight="1" x14ac:dyDescent="0.2">
      <c r="B49" s="105" t="s">
        <v>236</v>
      </c>
      <c r="C49" s="148">
        <f>'Plano de RH'!C44</f>
        <v>50556.726000000002</v>
      </c>
      <c r="D49" s="148">
        <f>'Plano de RH'!D44</f>
        <v>12576.300000000001</v>
      </c>
      <c r="E49" s="148">
        <f>'Plano de RH'!E44</f>
        <v>12576.300000000001</v>
      </c>
      <c r="F49" s="148">
        <f>'Plano de RH'!F44</f>
        <v>12702.063</v>
      </c>
      <c r="G49" s="148">
        <f>'Plano de RH'!G44</f>
        <v>12702.063</v>
      </c>
    </row>
    <row r="50" spans="2:12" s="4" customFormat="1" ht="18" customHeight="1" x14ac:dyDescent="0.2">
      <c r="B50" s="106" t="s">
        <v>80</v>
      </c>
      <c r="C50" s="149">
        <f>C23*$E$13</f>
        <v>102.64799857290625</v>
      </c>
      <c r="D50" s="149">
        <f>D23*$E$13</f>
        <v>25.288540188959232</v>
      </c>
      <c r="E50" s="149">
        <f>E23*$E$13</f>
        <v>25.555296942007324</v>
      </c>
      <c r="F50" s="149">
        <f>F23*$E$13</f>
        <v>25.768702344445799</v>
      </c>
      <c r="G50" s="149">
        <f>G23*$E$13</f>
        <v>26.035459097493892</v>
      </c>
    </row>
    <row r="51" spans="2:12" s="4" customFormat="1" ht="18" customHeight="1" x14ac:dyDescent="0.2">
      <c r="B51" s="105" t="s">
        <v>79</v>
      </c>
      <c r="C51" s="148">
        <f>C24*$D$13</f>
        <v>492.12</v>
      </c>
      <c r="D51" s="148">
        <f>D24*$D$13</f>
        <v>121.19999999999999</v>
      </c>
      <c r="E51" s="148">
        <f>E24*$D$13</f>
        <v>122.39999999999999</v>
      </c>
      <c r="F51" s="148">
        <f>F24*$D$13</f>
        <v>123.66</v>
      </c>
      <c r="G51" s="148">
        <f>G24*$D$13</f>
        <v>124.86</v>
      </c>
    </row>
    <row r="52" spans="2:12" s="4" customFormat="1" ht="18" customHeight="1" x14ac:dyDescent="0.2">
      <c r="B52" s="106" t="s">
        <v>78</v>
      </c>
      <c r="C52" s="149">
        <f>C25*$C$13</f>
        <v>2426.3114479166666</v>
      </c>
      <c r="D52" s="149">
        <f>D25*$C$13</f>
        <v>594.75</v>
      </c>
      <c r="E52" s="149">
        <f>E25*$C$13</f>
        <v>606.51782291666666</v>
      </c>
      <c r="F52" s="149">
        <f>F25*$C$13</f>
        <v>611.77181250000001</v>
      </c>
      <c r="G52" s="149">
        <f>G25*$C$13</f>
        <v>613.27181250000001</v>
      </c>
    </row>
    <row r="53" spans="2:12" s="4" customFormat="1" ht="18" customHeight="1" x14ac:dyDescent="0.2">
      <c r="B53" s="143" t="s">
        <v>15</v>
      </c>
      <c r="C53" s="176">
        <f>SUM(C49:C52)</f>
        <v>53577.805446489583</v>
      </c>
      <c r="D53" s="176">
        <f>SUM(D49:D52)</f>
        <v>13317.538540188962</v>
      </c>
      <c r="E53" s="176">
        <f>SUM(E49:E52)</f>
        <v>13330.773119858675</v>
      </c>
      <c r="F53" s="176">
        <f>SUM(F49:F52)</f>
        <v>13463.263514844444</v>
      </c>
      <c r="G53" s="176">
        <f>SUM(G49:G52)</f>
        <v>13466.230271597493</v>
      </c>
    </row>
    <row r="54" spans="2:12" s="4" customFormat="1" ht="18" customHeight="1" x14ac:dyDescent="0.2"/>
    <row r="55" spans="2:12" s="4" customFormat="1" ht="18" customHeight="1" x14ac:dyDescent="0.2">
      <c r="B55" s="144" t="s">
        <v>64</v>
      </c>
      <c r="C55" s="82"/>
      <c r="D55" s="82"/>
      <c r="E55" s="82"/>
      <c r="F55" s="82"/>
      <c r="G55" s="82"/>
    </row>
    <row r="56" spans="2:12" s="4" customFormat="1" ht="18" customHeight="1" x14ac:dyDescent="0.2">
      <c r="B56" s="105" t="s">
        <v>236</v>
      </c>
      <c r="C56" s="148">
        <f>'Plano de RH'!C47</f>
        <v>70473.012000000017</v>
      </c>
      <c r="D56" s="148">
        <f>'Plano de RH'!D47</f>
        <v>17530.600000000002</v>
      </c>
      <c r="E56" s="148">
        <f>'Plano de RH'!E47</f>
        <v>17530.600000000002</v>
      </c>
      <c r="F56" s="148">
        <f>'Plano de RH'!F47</f>
        <v>17705.906000000003</v>
      </c>
      <c r="G56" s="148">
        <f>'Plano de RH'!G47</f>
        <v>17705.906000000003</v>
      </c>
    </row>
    <row r="57" spans="2:12" s="4" customFormat="1" ht="18" customHeight="1" x14ac:dyDescent="0.2">
      <c r="B57" s="106" t="s">
        <v>80</v>
      </c>
      <c r="C57" s="149">
        <f>C23*$E$14</f>
        <v>136.86399809720831</v>
      </c>
      <c r="D57" s="149">
        <f>D23*$E$14</f>
        <v>33.718053585278973</v>
      </c>
      <c r="E57" s="149">
        <f>E23*$E$14</f>
        <v>34.073729256009763</v>
      </c>
      <c r="F57" s="149">
        <f>F23*$E$14</f>
        <v>34.358269792594399</v>
      </c>
      <c r="G57" s="149">
        <f>G23*$E$14</f>
        <v>34.713945463325189</v>
      </c>
    </row>
    <row r="58" spans="2:12" s="4" customFormat="1" ht="18" customHeight="1" x14ac:dyDescent="0.2">
      <c r="B58" s="105" t="s">
        <v>79</v>
      </c>
      <c r="C58" s="148">
        <f>C24*$D$14</f>
        <v>738.18</v>
      </c>
      <c r="D58" s="148">
        <f>D24*$D$14</f>
        <v>181.79999999999998</v>
      </c>
      <c r="E58" s="148">
        <f>E24*$D$14</f>
        <v>183.6</v>
      </c>
      <c r="F58" s="148">
        <f>F24*$D$14</f>
        <v>185.48999999999998</v>
      </c>
      <c r="G58" s="148">
        <f>G24*$D$14</f>
        <v>187.29</v>
      </c>
    </row>
    <row r="59" spans="2:12" s="4" customFormat="1" ht="18" customHeight="1" x14ac:dyDescent="0.2">
      <c r="B59" s="106" t="s">
        <v>78</v>
      </c>
      <c r="C59" s="149">
        <f>C25*$C$14</f>
        <v>5661.393378472223</v>
      </c>
      <c r="D59" s="149">
        <f>D25*$C$14</f>
        <v>1387.7500000000002</v>
      </c>
      <c r="E59" s="149">
        <f>E25*$C$14</f>
        <v>1415.2082534722222</v>
      </c>
      <c r="F59" s="149">
        <f>F25*$C$14</f>
        <v>1427.4675625</v>
      </c>
      <c r="G59" s="149">
        <f>G25*$C$14</f>
        <v>1430.9675625</v>
      </c>
    </row>
    <row r="60" spans="2:12" s="4" customFormat="1" ht="18" customHeight="1" x14ac:dyDescent="0.2">
      <c r="B60" s="143" t="s">
        <v>15</v>
      </c>
      <c r="C60" s="176">
        <f>SUM(C56:C59)</f>
        <v>77009.449376569435</v>
      </c>
      <c r="D60" s="176">
        <f>SUM(D56:D59)</f>
        <v>19133.86805358528</v>
      </c>
      <c r="E60" s="176">
        <f>SUM(E56:E59)</f>
        <v>19163.481982728234</v>
      </c>
      <c r="F60" s="176">
        <f>SUM(F56:F59)</f>
        <v>19353.221832292598</v>
      </c>
      <c r="G60" s="176">
        <f>SUM(G56:G59)</f>
        <v>19358.877507963327</v>
      </c>
    </row>
    <row r="61" spans="2:12" s="4" customFormat="1" ht="18" customHeight="1" x14ac:dyDescent="0.2">
      <c r="B61" s="109"/>
      <c r="C61" s="178"/>
      <c r="D61" s="178"/>
      <c r="E61" s="178"/>
      <c r="F61" s="178"/>
      <c r="G61" s="178"/>
      <c r="J61" s="109"/>
      <c r="K61" s="109"/>
      <c r="L61" s="109"/>
    </row>
    <row r="62" spans="2:12" s="4" customFormat="1" ht="18" customHeight="1" x14ac:dyDescent="0.2">
      <c r="B62" s="144" t="s">
        <v>65</v>
      </c>
      <c r="C62" s="177"/>
      <c r="D62" s="177"/>
      <c r="E62" s="177"/>
      <c r="F62" s="177"/>
      <c r="G62" s="177"/>
    </row>
    <row r="63" spans="2:12" s="4" customFormat="1" ht="18" customHeight="1" x14ac:dyDescent="0.2">
      <c r="B63" s="105" t="s">
        <v>236</v>
      </c>
      <c r="C63" s="148">
        <f>'Plano de RH'!C51</f>
        <v>92943.401130603772</v>
      </c>
      <c r="D63" s="148">
        <f>'Plano de RH'!D51</f>
        <v>23011.544772500001</v>
      </c>
      <c r="E63" s="148">
        <f>'Plano de RH'!E51</f>
        <v>23119.708220225002</v>
      </c>
      <c r="F63" s="148">
        <f>'Plano de RH'!F51</f>
        <v>23350.905302427247</v>
      </c>
      <c r="G63" s="148">
        <f>'Plano de RH'!G51</f>
        <v>23461.242835451525</v>
      </c>
    </row>
    <row r="64" spans="2:12" s="4" customFormat="1" ht="18" customHeight="1" x14ac:dyDescent="0.2">
      <c r="B64" s="106" t="s">
        <v>80</v>
      </c>
      <c r="C64" s="149">
        <f>C23*$E$15</f>
        <v>273.72799619441662</v>
      </c>
      <c r="D64" s="149">
        <f>D23*$E$15</f>
        <v>67.436107170557946</v>
      </c>
      <c r="E64" s="149">
        <f>E23*$E$15</f>
        <v>68.147458512019526</v>
      </c>
      <c r="F64" s="149">
        <f>F23*$E$15</f>
        <v>68.716539585188798</v>
      </c>
      <c r="G64" s="149">
        <f>G23*$E$15</f>
        <v>69.427890926650377</v>
      </c>
    </row>
    <row r="65" spans="2:7" s="4" customFormat="1" ht="18" customHeight="1" x14ac:dyDescent="0.2">
      <c r="B65" s="105" t="s">
        <v>79</v>
      </c>
      <c r="C65" s="148">
        <f>C24*$D$15</f>
        <v>0</v>
      </c>
      <c r="D65" s="148">
        <f>D24*$D$15</f>
        <v>0</v>
      </c>
      <c r="E65" s="148">
        <f>E24*$D$15</f>
        <v>0</v>
      </c>
      <c r="F65" s="148">
        <f>F24*$D$15</f>
        <v>0</v>
      </c>
      <c r="G65" s="148">
        <f>G24*$D$15</f>
        <v>0</v>
      </c>
    </row>
    <row r="66" spans="2:7" s="4" customFormat="1" ht="18" customHeight="1" x14ac:dyDescent="0.2">
      <c r="B66" s="106" t="s">
        <v>78</v>
      </c>
      <c r="C66" s="149">
        <f>C25*$C$15</f>
        <v>5661.393378472223</v>
      </c>
      <c r="D66" s="149">
        <f>D25*$C$15</f>
        <v>1387.7500000000002</v>
      </c>
      <c r="E66" s="149">
        <f>E25*$C$15</f>
        <v>1415.2082534722222</v>
      </c>
      <c r="F66" s="149">
        <f>F25*$C$15</f>
        <v>1427.4675625</v>
      </c>
      <c r="G66" s="149">
        <f>G25*$C$15</f>
        <v>1430.9675625</v>
      </c>
    </row>
    <row r="67" spans="2:7" s="4" customFormat="1" ht="18" customHeight="1" x14ac:dyDescent="0.2">
      <c r="B67" s="143" t="s">
        <v>15</v>
      </c>
      <c r="C67" s="176">
        <f>SUM(C63:C66)</f>
        <v>98878.522505270405</v>
      </c>
      <c r="D67" s="176">
        <f>SUM(D63:D66)</f>
        <v>24466.730879670558</v>
      </c>
      <c r="E67" s="176">
        <f>SUM(E63:E66)</f>
        <v>24603.063932209243</v>
      </c>
      <c r="F67" s="176">
        <f>SUM(F63:F66)</f>
        <v>24847.089404512437</v>
      </c>
      <c r="G67" s="176">
        <f>SUM(G63:G66)</f>
        <v>24961.638288878174</v>
      </c>
    </row>
    <row r="68" spans="2:7" s="4" customFormat="1" ht="18" customHeight="1" x14ac:dyDescent="0.2">
      <c r="C68" s="152"/>
      <c r="D68" s="152"/>
      <c r="E68" s="152"/>
      <c r="F68" s="152"/>
      <c r="G68" s="152"/>
    </row>
    <row r="69" spans="2:7" s="4" customFormat="1" ht="18" customHeight="1" x14ac:dyDescent="0.2">
      <c r="B69" s="144" t="s">
        <v>66</v>
      </c>
      <c r="C69" s="177"/>
      <c r="D69" s="177"/>
      <c r="E69" s="177"/>
      <c r="F69" s="177"/>
      <c r="G69" s="177"/>
    </row>
    <row r="70" spans="2:7" s="4" customFormat="1" ht="18" customHeight="1" x14ac:dyDescent="0.2">
      <c r="B70" s="105" t="s">
        <v>236</v>
      </c>
      <c r="C70" s="148">
        <f>'Plano de RH'!C54</f>
        <v>15320.220000000001</v>
      </c>
      <c r="D70" s="148">
        <f>'Plano de RH'!D54</f>
        <v>3811</v>
      </c>
      <c r="E70" s="148">
        <f>'Plano de RH'!E54</f>
        <v>3811</v>
      </c>
      <c r="F70" s="148">
        <f>'Plano de RH'!F54</f>
        <v>3849.11</v>
      </c>
      <c r="G70" s="148">
        <f>'Plano de RH'!G54</f>
        <v>3849.11</v>
      </c>
    </row>
    <row r="71" spans="2:7" s="4" customFormat="1" ht="18" customHeight="1" x14ac:dyDescent="0.2">
      <c r="B71" s="106" t="s">
        <v>80</v>
      </c>
      <c r="C71" s="149">
        <f>C23*$E$16</f>
        <v>34.215999524302077</v>
      </c>
      <c r="D71" s="149">
        <f>D23*$E$16</f>
        <v>8.4295133963197433</v>
      </c>
      <c r="E71" s="149">
        <f>E23*$E$16</f>
        <v>8.5184323140024407</v>
      </c>
      <c r="F71" s="149">
        <f>F23*$E$16</f>
        <v>8.5895674481485997</v>
      </c>
      <c r="G71" s="149">
        <f>G23*$E$16</f>
        <v>8.6784863658312972</v>
      </c>
    </row>
    <row r="72" spans="2:7" s="4" customFormat="1" ht="18" customHeight="1" x14ac:dyDescent="0.2">
      <c r="B72" s="105" t="s">
        <v>79</v>
      </c>
      <c r="C72" s="148">
        <f>C24*$D$16</f>
        <v>0</v>
      </c>
      <c r="D72" s="148">
        <f>D24*$D$16</f>
        <v>0</v>
      </c>
      <c r="E72" s="148">
        <f>E24*$D$16</f>
        <v>0</v>
      </c>
      <c r="F72" s="148">
        <f>F24*$D$16</f>
        <v>0</v>
      </c>
      <c r="G72" s="148">
        <f>G24*$D$16</f>
        <v>0</v>
      </c>
    </row>
    <row r="73" spans="2:7" s="4" customFormat="1" ht="18" customHeight="1" x14ac:dyDescent="0.2">
      <c r="B73" s="106" t="s">
        <v>78</v>
      </c>
      <c r="C73" s="149">
        <f>C25*$C$16</f>
        <v>2426.3114479166666</v>
      </c>
      <c r="D73" s="149">
        <f>D25*$C$16</f>
        <v>594.75</v>
      </c>
      <c r="E73" s="149">
        <f>E25*$C$16</f>
        <v>606.51782291666666</v>
      </c>
      <c r="F73" s="149">
        <f>F25*$C$16</f>
        <v>611.77181250000001</v>
      </c>
      <c r="G73" s="149">
        <f>G25*$C$16</f>
        <v>613.27181250000001</v>
      </c>
    </row>
    <row r="74" spans="2:7" s="4" customFormat="1" ht="18" customHeight="1" x14ac:dyDescent="0.2">
      <c r="B74" s="143" t="s">
        <v>15</v>
      </c>
      <c r="C74" s="176">
        <f>SUM(C70:C73)</f>
        <v>17780.747447440968</v>
      </c>
      <c r="D74" s="176">
        <f>SUM(D70:D73)</f>
        <v>4414.1795133963196</v>
      </c>
      <c r="E74" s="176">
        <f>SUM(E70:E73)</f>
        <v>4426.0362552306688</v>
      </c>
      <c r="F74" s="176">
        <f>SUM(F70:F73)</f>
        <v>4469.4713799481488</v>
      </c>
      <c r="G74" s="176">
        <f>SUM(G70:G73)</f>
        <v>4471.0602988658311</v>
      </c>
    </row>
    <row r="75" spans="2:7" s="4" customFormat="1" ht="18" customHeight="1" x14ac:dyDescent="0.2"/>
    <row r="76" spans="2:7" s="4" customFormat="1" ht="18" customHeight="1" x14ac:dyDescent="0.2">
      <c r="B76" s="144" t="s">
        <v>86</v>
      </c>
      <c r="C76" s="82"/>
      <c r="D76" s="82"/>
      <c r="E76" s="82"/>
      <c r="F76" s="82"/>
      <c r="G76" s="82"/>
    </row>
    <row r="77" spans="2:7" s="4" customFormat="1" ht="18" customHeight="1" x14ac:dyDescent="0.2">
      <c r="B77" s="105" t="s">
        <v>236</v>
      </c>
      <c r="C77" s="148">
        <f>'Plano de RH'!C57</f>
        <v>43662.627</v>
      </c>
      <c r="D77" s="148">
        <f>'Plano de RH'!D57</f>
        <v>10861.35</v>
      </c>
      <c r="E77" s="148">
        <f>'Plano de RH'!E57</f>
        <v>10861.35</v>
      </c>
      <c r="F77" s="148">
        <f>'Plano de RH'!F57</f>
        <v>10969.9635</v>
      </c>
      <c r="G77" s="148">
        <f>'Plano de RH'!G57</f>
        <v>10969.9635</v>
      </c>
    </row>
    <row r="78" spans="2:7" s="4" customFormat="1" ht="18" customHeight="1" x14ac:dyDescent="0.2">
      <c r="B78" s="106" t="s">
        <v>80</v>
      </c>
      <c r="C78" s="149">
        <f>C23*$E$17</f>
        <v>102.64799857290625</v>
      </c>
      <c r="D78" s="149">
        <f>D23*$E$17</f>
        <v>25.288540188959232</v>
      </c>
      <c r="E78" s="149">
        <f>E23*$E$17</f>
        <v>25.555296942007324</v>
      </c>
      <c r="F78" s="149">
        <f>F23*$E$17</f>
        <v>25.768702344445799</v>
      </c>
      <c r="G78" s="149">
        <f>G23*$E$17</f>
        <v>26.035459097493892</v>
      </c>
    </row>
    <row r="79" spans="2:7" s="4" customFormat="1" ht="18" customHeight="1" x14ac:dyDescent="0.2">
      <c r="B79" s="105" t="s">
        <v>79</v>
      </c>
      <c r="C79" s="148">
        <f>C24*$D$17</f>
        <v>82.02</v>
      </c>
      <c r="D79" s="148">
        <f>D24*$D$17</f>
        <v>20.2</v>
      </c>
      <c r="E79" s="148">
        <f>E24*$D$17</f>
        <v>20.400000000000002</v>
      </c>
      <c r="F79" s="148">
        <f>F24*$D$17</f>
        <v>20.61</v>
      </c>
      <c r="G79" s="148">
        <f>G24*$D$17</f>
        <v>20.81</v>
      </c>
    </row>
    <row r="80" spans="2:7" s="4" customFormat="1" ht="18" customHeight="1" x14ac:dyDescent="0.2">
      <c r="B80" s="106" t="s">
        <v>78</v>
      </c>
      <c r="C80" s="149">
        <f>C25*$C$17</f>
        <v>4852.6228958333331</v>
      </c>
      <c r="D80" s="149">
        <f>D25*$C$17</f>
        <v>1189.5</v>
      </c>
      <c r="E80" s="149">
        <f>E25*$C$17</f>
        <v>1213.0356458333333</v>
      </c>
      <c r="F80" s="149">
        <f>F25*$C$17</f>
        <v>1223.543625</v>
      </c>
      <c r="G80" s="149">
        <f>G25*$C$17</f>
        <v>1226.543625</v>
      </c>
    </row>
    <row r="81" spans="2:7" s="4" customFormat="1" ht="18" customHeight="1" x14ac:dyDescent="0.2">
      <c r="B81" s="143" t="s">
        <v>15</v>
      </c>
      <c r="C81" s="176">
        <f>SUM(C77:C80)</f>
        <v>48699.917894406237</v>
      </c>
      <c r="D81" s="176">
        <f>SUM(D77:D80)</f>
        <v>12096.338540188961</v>
      </c>
      <c r="E81" s="176">
        <f>SUM(E77:E80)</f>
        <v>12120.340942775341</v>
      </c>
      <c r="F81" s="176">
        <f>SUM(F77:F80)</f>
        <v>12239.885827344446</v>
      </c>
      <c r="G81" s="176">
        <f>SUM(G77:G80)</f>
        <v>12243.352584097493</v>
      </c>
    </row>
    <row r="82" spans="2:7" s="4" customFormat="1" ht="18" customHeight="1" x14ac:dyDescent="0.2">
      <c r="C82" s="152"/>
      <c r="D82" s="152"/>
      <c r="E82" s="152"/>
      <c r="F82" s="152"/>
      <c r="G82" s="152"/>
    </row>
    <row r="83" spans="2:7" s="4" customFormat="1" ht="18" customHeight="1" x14ac:dyDescent="0.2">
      <c r="B83" s="144" t="s">
        <v>68</v>
      </c>
      <c r="C83" s="177"/>
      <c r="D83" s="177"/>
      <c r="E83" s="177"/>
      <c r="F83" s="177"/>
      <c r="G83" s="177"/>
    </row>
    <row r="84" spans="2:7" s="4" customFormat="1" ht="18" customHeight="1" x14ac:dyDescent="0.2">
      <c r="B84" s="105" t="s">
        <v>236</v>
      </c>
      <c r="C84" s="148">
        <f t="shared" ref="C84:G87" si="0">C77+C70+C63+C56+C49+C42+C35</f>
        <v>430190.95899715298</v>
      </c>
      <c r="D84" s="148">
        <f t="shared" si="0"/>
        <v>106457.96588508086</v>
      </c>
      <c r="E84" s="148">
        <f t="shared" si="0"/>
        <v>107159.81972816151</v>
      </c>
      <c r="F84" s="148">
        <f t="shared" si="0"/>
        <v>108231.41792544314</v>
      </c>
      <c r="G84" s="148">
        <f t="shared" si="0"/>
        <v>108341.75545846741</v>
      </c>
    </row>
    <row r="85" spans="2:7" s="4" customFormat="1" ht="18" customHeight="1" x14ac:dyDescent="0.2">
      <c r="B85" s="106" t="s">
        <v>80</v>
      </c>
      <c r="C85" s="149">
        <f t="shared" si="0"/>
        <v>1924</v>
      </c>
      <c r="D85" s="149">
        <f t="shared" si="0"/>
        <v>474</v>
      </c>
      <c r="E85" s="149">
        <f t="shared" si="0"/>
        <v>479</v>
      </c>
      <c r="F85" s="149">
        <f t="shared" si="0"/>
        <v>483</v>
      </c>
      <c r="G85" s="149">
        <f t="shared" si="0"/>
        <v>488.00000000000006</v>
      </c>
    </row>
    <row r="86" spans="2:7" s="4" customFormat="1" ht="18" customHeight="1" x14ac:dyDescent="0.2">
      <c r="B86" s="105" t="s">
        <v>79</v>
      </c>
      <c r="C86" s="148">
        <f t="shared" si="0"/>
        <v>8202</v>
      </c>
      <c r="D86" s="148">
        <f t="shared" si="0"/>
        <v>2019.9999999999998</v>
      </c>
      <c r="E86" s="148">
        <f t="shared" si="0"/>
        <v>2039.9999999999998</v>
      </c>
      <c r="F86" s="148">
        <f t="shared" si="0"/>
        <v>2061</v>
      </c>
      <c r="G86" s="148">
        <f t="shared" si="0"/>
        <v>2081</v>
      </c>
    </row>
    <row r="87" spans="2:7" s="4" customFormat="1" ht="18" customHeight="1" x14ac:dyDescent="0.2">
      <c r="B87" s="106" t="s">
        <v>78</v>
      </c>
      <c r="C87" s="149">
        <f t="shared" si="0"/>
        <v>80877.048263888893</v>
      </c>
      <c r="D87" s="149">
        <f t="shared" si="0"/>
        <v>19825</v>
      </c>
      <c r="E87" s="149">
        <f t="shared" si="0"/>
        <v>20217.260763888888</v>
      </c>
      <c r="F87" s="149">
        <f t="shared" si="0"/>
        <v>20392.393749999999</v>
      </c>
      <c r="G87" s="149">
        <f t="shared" si="0"/>
        <v>20442.393749999999</v>
      </c>
    </row>
    <row r="88" spans="2:7" s="4" customFormat="1" ht="18" customHeight="1" x14ac:dyDescent="0.2">
      <c r="B88" s="142" t="s">
        <v>15</v>
      </c>
      <c r="C88" s="172">
        <f>SUM(C84:C87)</f>
        <v>521194.0072610419</v>
      </c>
      <c r="D88" s="172">
        <f>SUM(D84:D87)</f>
        <v>128776.96588508086</v>
      </c>
      <c r="E88" s="172">
        <f>SUM(E84:E87)</f>
        <v>129896.0804920504</v>
      </c>
      <c r="F88" s="172">
        <f>SUM(F84:F87)</f>
        <v>131167.81167544314</v>
      </c>
      <c r="G88" s="172">
        <f>SUM(G84:G87)</f>
        <v>131353.1492084674</v>
      </c>
    </row>
    <row r="89" spans="2:7" s="4" customFormat="1" ht="18" customHeight="1" x14ac:dyDescent="0.2"/>
    <row r="90" spans="2:7" s="4" customFormat="1" ht="18" customHeight="1" x14ac:dyDescent="0.2">
      <c r="B90" s="4" t="s">
        <v>196</v>
      </c>
    </row>
    <row r="91" spans="2:7" s="4" customFormat="1" ht="18" customHeight="1" x14ac:dyDescent="0.2">
      <c r="B91" s="72" t="s">
        <v>197</v>
      </c>
    </row>
    <row r="92" spans="2:7" s="4" customFormat="1" ht="18" customHeight="1" x14ac:dyDescent="0.2">
      <c r="B92" s="72" t="s">
        <v>199</v>
      </c>
    </row>
    <row r="93" spans="2:7" s="4" customFormat="1" ht="18" customHeight="1" x14ac:dyDescent="0.2">
      <c r="B93" s="72" t="s">
        <v>198</v>
      </c>
    </row>
    <row r="94" spans="2:7" s="4" customFormat="1" ht="18" customHeight="1" x14ac:dyDescent="0.2"/>
    <row r="95" spans="2:7" s="4" customFormat="1" ht="18" customHeight="1" x14ac:dyDescent="0.2"/>
    <row r="96" spans="2:7" s="4" customFormat="1" ht="18" customHeight="1" x14ac:dyDescent="0.2"/>
    <row r="105" s="146" customFormat="1" ht="30" customHeight="1" x14ac:dyDescent="0.2"/>
  </sheetData>
  <mergeCells count="6">
    <mergeCell ref="A1:XFD1"/>
    <mergeCell ref="C21:G21"/>
    <mergeCell ref="C31:G31"/>
    <mergeCell ref="B21:B22"/>
    <mergeCell ref="B7:B8"/>
    <mergeCell ref="B31:B3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showGridLines="0" showRowColHeaders="0" zoomScaleNormal="10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7109375" style="1" customWidth="1"/>
    <col min="2" max="2" width="39.28515625" style="2" customWidth="1"/>
    <col min="3" max="3" width="16.28515625" style="2" customWidth="1"/>
    <col min="4" max="9" width="11.42578125" style="2" customWidth="1"/>
    <col min="10" max="19" width="11.42578125" style="1"/>
    <col min="20" max="20" width="11.42578125" style="1" customWidth="1"/>
    <col min="21" max="16384" width="11.42578125" style="1"/>
  </cols>
  <sheetData>
    <row r="1" spans="1:9" s="188" customFormat="1" ht="52.5" customHeight="1" thickBot="1" x14ac:dyDescent="0.25">
      <c r="A1" s="188" t="s">
        <v>222</v>
      </c>
    </row>
    <row r="2" spans="1:9" ht="18" customHeight="1" thickTop="1" x14ac:dyDescent="0.2"/>
    <row r="3" spans="1:9" ht="22.5" customHeight="1" x14ac:dyDescent="0.2">
      <c r="B3" s="3" t="s">
        <v>225</v>
      </c>
    </row>
    <row r="4" spans="1:9" s="4" customFormat="1" ht="18" customHeight="1" x14ac:dyDescent="0.2">
      <c r="B4" s="113"/>
      <c r="C4" s="113"/>
      <c r="D4" s="113"/>
      <c r="E4" s="113"/>
      <c r="F4" s="113"/>
      <c r="G4" s="113"/>
      <c r="H4" s="113"/>
      <c r="I4" s="113"/>
    </row>
    <row r="5" spans="1:9" s="4" customFormat="1" ht="18" customHeight="1" x14ac:dyDescent="0.2">
      <c r="B5" s="113"/>
      <c r="C5" s="113"/>
      <c r="D5" s="113"/>
      <c r="E5" s="113"/>
      <c r="F5" s="113"/>
      <c r="G5" s="113"/>
      <c r="H5" s="113"/>
      <c r="I5" s="113"/>
    </row>
    <row r="6" spans="1:9" s="4" customFormat="1" ht="18" customHeight="1" x14ac:dyDescent="0.2">
      <c r="B6" s="71" t="s">
        <v>231</v>
      </c>
      <c r="C6" s="113"/>
      <c r="D6" s="113"/>
      <c r="E6" s="113"/>
      <c r="F6" s="113"/>
      <c r="G6" s="113"/>
      <c r="H6" s="113"/>
      <c r="I6" s="113"/>
    </row>
    <row r="7" spans="1:9" s="4" customFormat="1" ht="18" customHeight="1" x14ac:dyDescent="0.2">
      <c r="B7" s="113"/>
      <c r="C7" s="113"/>
      <c r="D7" s="113"/>
      <c r="E7" s="113"/>
      <c r="F7" s="113"/>
      <c r="G7" s="113"/>
      <c r="H7" s="113"/>
      <c r="I7" s="113"/>
    </row>
    <row r="8" spans="1:9" s="4" customFormat="1" ht="18" customHeight="1" x14ac:dyDescent="0.2">
      <c r="B8" s="113" t="s">
        <v>319</v>
      </c>
      <c r="C8" s="113"/>
      <c r="D8" s="113"/>
      <c r="E8" s="113"/>
      <c r="F8" s="113"/>
      <c r="G8" s="113"/>
      <c r="H8" s="113"/>
      <c r="I8" s="113"/>
    </row>
    <row r="9" spans="1:9" s="4" customFormat="1" ht="18" customHeight="1" x14ac:dyDescent="0.2">
      <c r="B9" s="113" t="s">
        <v>320</v>
      </c>
      <c r="C9" s="113"/>
      <c r="D9" s="113"/>
      <c r="E9" s="113"/>
      <c r="F9" s="113"/>
      <c r="G9" s="113"/>
      <c r="H9" s="113"/>
      <c r="I9" s="113"/>
    </row>
    <row r="10" spans="1:9" s="4" customFormat="1" ht="18" customHeight="1" x14ac:dyDescent="0.2">
      <c r="B10" s="113" t="s">
        <v>321</v>
      </c>
      <c r="C10" s="113"/>
      <c r="D10" s="113"/>
      <c r="E10" s="113"/>
      <c r="F10" s="113"/>
      <c r="G10" s="113"/>
      <c r="H10" s="113"/>
      <c r="I10" s="113"/>
    </row>
    <row r="11" spans="1:9" s="4" customFormat="1" ht="18" customHeight="1" x14ac:dyDescent="0.2">
      <c r="B11" s="113"/>
      <c r="C11" s="113"/>
      <c r="D11" s="113"/>
      <c r="E11" s="113"/>
      <c r="F11" s="113"/>
      <c r="G11" s="113"/>
      <c r="H11" s="113"/>
      <c r="I11" s="113"/>
    </row>
    <row r="12" spans="1:9" s="4" customFormat="1" ht="18" customHeight="1" x14ac:dyDescent="0.2">
      <c r="B12" s="113"/>
      <c r="C12" s="113"/>
      <c r="D12" s="113"/>
      <c r="E12" s="113"/>
      <c r="F12" s="113"/>
      <c r="G12" s="113"/>
      <c r="H12" s="113"/>
      <c r="I12" s="113"/>
    </row>
    <row r="13" spans="1:9" s="4" customFormat="1" ht="18" customHeight="1" x14ac:dyDescent="0.2">
      <c r="B13" s="115" t="s">
        <v>88</v>
      </c>
      <c r="C13" s="113"/>
      <c r="D13" s="113"/>
      <c r="E13" s="113"/>
      <c r="F13" s="113"/>
      <c r="G13" s="113"/>
      <c r="H13" s="113"/>
      <c r="I13" s="113"/>
    </row>
    <row r="14" spans="1:9" s="4" customFormat="1" ht="18" customHeight="1" x14ac:dyDescent="0.2">
      <c r="B14" s="113"/>
      <c r="C14" s="113"/>
      <c r="D14" s="113"/>
      <c r="E14" s="113"/>
      <c r="F14" s="113"/>
      <c r="G14" s="113"/>
      <c r="H14" s="113"/>
      <c r="I14" s="113"/>
    </row>
    <row r="15" spans="1:9" s="4" customFormat="1" ht="18" customHeight="1" x14ac:dyDescent="0.2">
      <c r="B15" s="194" t="s">
        <v>241</v>
      </c>
      <c r="C15" s="210" t="s">
        <v>322</v>
      </c>
      <c r="D15" s="194" t="s">
        <v>8</v>
      </c>
      <c r="E15" s="194"/>
      <c r="F15" s="194"/>
      <c r="G15" s="194"/>
      <c r="H15" s="194"/>
    </row>
    <row r="16" spans="1:9" s="4" customFormat="1" ht="18" customHeight="1" x14ac:dyDescent="0.2">
      <c r="B16" s="194"/>
      <c r="C16" s="210"/>
      <c r="D16" s="70" t="s">
        <v>7</v>
      </c>
      <c r="E16" s="70" t="s">
        <v>268</v>
      </c>
      <c r="F16" s="70" t="s">
        <v>267</v>
      </c>
      <c r="G16" s="70" t="s">
        <v>266</v>
      </c>
      <c r="H16" s="70" t="s">
        <v>265</v>
      </c>
    </row>
    <row r="17" spans="2:9" s="4" customFormat="1" ht="18" customHeight="1" x14ac:dyDescent="0.2">
      <c r="B17" s="119" t="s">
        <v>323</v>
      </c>
      <c r="C17" s="119"/>
      <c r="D17" s="119"/>
      <c r="E17" s="120"/>
      <c r="F17" s="119"/>
      <c r="G17" s="119"/>
      <c r="H17" s="119"/>
    </row>
    <row r="18" spans="2:9" s="4" customFormat="1" ht="18" customHeight="1" x14ac:dyDescent="0.2">
      <c r="B18" s="106" t="s">
        <v>24</v>
      </c>
      <c r="C18" s="35">
        <f>'Matéria-prima'!C9</f>
        <v>0.75</v>
      </c>
      <c r="D18" s="35">
        <f>'Matéria-prima'!G13*(1-'Matéria-prima'!G8)*C18</f>
        <v>6.15</v>
      </c>
      <c r="E18" s="77">
        <f>'Matéria-prima'!D41*(1-'Matéria-prima'!$G$8)*$C$18</f>
        <v>6.3046724999999988</v>
      </c>
      <c r="F18" s="77">
        <f>E18*(1+'Matéria-prima'!$G15)</f>
        <v>6.3677192249999992</v>
      </c>
      <c r="G18" s="77">
        <f>F18*(1+'Matéria-prima'!$G15)</f>
        <v>6.4313964172499993</v>
      </c>
      <c r="H18" s="77">
        <f>G18*(1+'Matéria-prima'!$G15)</f>
        <v>6.4957103814224997</v>
      </c>
    </row>
    <row r="19" spans="2:9" s="4" customFormat="1" ht="18" customHeight="1" x14ac:dyDescent="0.2">
      <c r="B19" s="105" t="s">
        <v>25</v>
      </c>
      <c r="C19" s="34">
        <f>'Matéria-prima'!C10</f>
        <v>0.2</v>
      </c>
      <c r="D19" s="34">
        <f>'Matéria-prima'!G14*(1-'Matéria-prima'!G8)*C19</f>
        <v>0.82000000000000017</v>
      </c>
      <c r="E19" s="81">
        <f>'Matéria-prima'!D47*(1-'Matéria-prima'!$G$8)*$C$19</f>
        <v>0.8406229999999999</v>
      </c>
      <c r="F19" s="81">
        <f>E19*(1+'Matéria-prima'!$G$15)</f>
        <v>0.84902922999999986</v>
      </c>
      <c r="G19" s="81">
        <f>F19*(1+'Matéria-prima'!$G$15)</f>
        <v>0.85751952229999984</v>
      </c>
      <c r="H19" s="81">
        <f>G19*(1+'Matéria-prima'!$G$15)</f>
        <v>0.86609471752299982</v>
      </c>
    </row>
    <row r="20" spans="2:9" s="4" customFormat="1" ht="18" customHeight="1" x14ac:dyDescent="0.2">
      <c r="B20" s="117"/>
      <c r="C20" s="117"/>
      <c r="D20" s="117"/>
      <c r="E20" s="118"/>
      <c r="F20" s="117"/>
      <c r="G20" s="117"/>
      <c r="H20" s="117"/>
    </row>
    <row r="21" spans="2:9" s="4" customFormat="1" ht="18" customHeight="1" x14ac:dyDescent="0.2">
      <c r="B21" s="119" t="s">
        <v>324</v>
      </c>
      <c r="C21" s="119"/>
      <c r="D21" s="119"/>
      <c r="E21" s="119"/>
      <c r="F21" s="119"/>
      <c r="G21" s="119"/>
      <c r="H21" s="119"/>
    </row>
    <row r="22" spans="2:9" s="4" customFormat="1" ht="18" customHeight="1" x14ac:dyDescent="0.2">
      <c r="B22" s="106" t="s">
        <v>89</v>
      </c>
      <c r="C22" s="35"/>
      <c r="D22" s="35"/>
      <c r="E22" s="77">
        <f>'Gastos operacionais'!D39/'Matéria-prima'!D22</f>
        <v>3.318926138513882</v>
      </c>
      <c r="F22" s="77">
        <f>'Gastos operacionais'!E39/'Matéria-prima'!E22</f>
        <v>3.3110031717324566</v>
      </c>
      <c r="G22" s="77">
        <f>'Gastos operacionais'!F39/'Matéria-prima'!F22</f>
        <v>3.342570187343719</v>
      </c>
      <c r="H22" s="77">
        <f>'Gastos operacionais'!G39/'Matéria-prima'!G22</f>
        <v>3.3468245750011447</v>
      </c>
    </row>
    <row r="23" spans="2:9" s="4" customFormat="1" ht="18" customHeight="1" x14ac:dyDescent="0.2">
      <c r="B23" s="116" t="s">
        <v>0</v>
      </c>
      <c r="C23" s="116"/>
      <c r="D23" s="116"/>
      <c r="E23" s="116"/>
      <c r="F23" s="116"/>
      <c r="G23" s="116"/>
      <c r="H23" s="116"/>
    </row>
    <row r="24" spans="2:9" s="4" customFormat="1" ht="18" customHeight="1" x14ac:dyDescent="0.2">
      <c r="B24" s="119" t="s">
        <v>325</v>
      </c>
      <c r="C24" s="119"/>
      <c r="D24" s="119"/>
      <c r="E24" s="119"/>
      <c r="F24" s="119"/>
      <c r="G24" s="119"/>
      <c r="H24" s="119"/>
    </row>
    <row r="25" spans="2:9" s="4" customFormat="1" ht="18" customHeight="1" x14ac:dyDescent="0.2">
      <c r="B25" s="105" t="s">
        <v>238</v>
      </c>
      <c r="C25" s="34"/>
      <c r="D25" s="34"/>
      <c r="E25" s="81">
        <f>'Gastos operacionais'!D46/'Matéria-prima'!D22</f>
        <v>1.3694950955339227</v>
      </c>
      <c r="F25" s="81">
        <f>'Gastos operacionais'!E46/'Matéria-prima'!E22</f>
        <v>1.3380502598878872</v>
      </c>
      <c r="G25" s="81">
        <f>'Gastos operacionais'!F46/'Matéria-prima'!F22</f>
        <v>1.3513185059351551</v>
      </c>
      <c r="H25" s="81">
        <f>'Gastos operacionais'!G46/'Matéria-prima'!G22</f>
        <v>1.3517840951833706</v>
      </c>
    </row>
    <row r="26" spans="2:9" s="4" customFormat="1" ht="18" customHeight="1" x14ac:dyDescent="0.2">
      <c r="B26" s="106" t="s">
        <v>239</v>
      </c>
      <c r="C26" s="35"/>
      <c r="D26" s="35"/>
      <c r="E26" s="77">
        <f>'Gastos operacionais'!D53/'Matéria-prima'!D22</f>
        <v>1.1280964147443009</v>
      </c>
      <c r="F26" s="77">
        <f>'Gastos operacionais'!E53/'Matéria-prima'!E22</f>
        <v>1.1017395499790223</v>
      </c>
      <c r="G26" s="77">
        <f>'Gastos operacionais'!F53/'Matéria-prima'!F22</f>
        <v>1.1126893956358144</v>
      </c>
      <c r="H26" s="77">
        <f>'Gastos operacionais'!G53/'Matéria-prima'!G22</f>
        <v>1.1129345872102723</v>
      </c>
      <c r="I26" s="8"/>
    </row>
    <row r="27" spans="2:9" s="4" customFormat="1" ht="18" customHeight="1" x14ac:dyDescent="0.2">
      <c r="B27" s="105" t="s">
        <v>240</v>
      </c>
      <c r="C27" s="34"/>
      <c r="D27" s="34"/>
      <c r="E27" s="81">
        <f>'Gastos operacionais'!D60/'Matéria-prima'!D22</f>
        <v>1.6207835919755338</v>
      </c>
      <c r="F27" s="81">
        <f>'Gastos operacionais'!E60/'Matéria-prima'!E22</f>
        <v>1.5837915645139968</v>
      </c>
      <c r="G27" s="81">
        <f>'Gastos operacionais'!F60/'Matéria-prima'!F22</f>
        <v>1.5994728678107066</v>
      </c>
      <c r="H27" s="81">
        <f>'Gastos operacionais'!G60/'Matéria-prima'!G22</f>
        <v>1.5999402886806195</v>
      </c>
    </row>
    <row r="28" spans="2:9" s="4" customFormat="1" ht="18" customHeight="1" x14ac:dyDescent="0.2">
      <c r="B28" s="121"/>
      <c r="C28" s="117"/>
      <c r="D28" s="117"/>
      <c r="E28" s="117"/>
      <c r="F28" s="117"/>
      <c r="G28" s="117"/>
      <c r="H28" s="117"/>
    </row>
    <row r="29" spans="2:9" s="4" customFormat="1" ht="18" customHeight="1" x14ac:dyDescent="0.2">
      <c r="B29" s="136" t="s">
        <v>90</v>
      </c>
      <c r="C29" s="140"/>
      <c r="D29" s="140"/>
      <c r="E29" s="145">
        <f>SUM(E18:E27)</f>
        <v>14.582596740767638</v>
      </c>
      <c r="F29" s="145">
        <f>SUM(F18:F27)</f>
        <v>14.551333001113361</v>
      </c>
      <c r="G29" s="145">
        <f>SUM(G18:G27)</f>
        <v>14.694966896275396</v>
      </c>
      <c r="H29" s="145">
        <f>SUM(H18:H27)</f>
        <v>14.773288645020907</v>
      </c>
    </row>
    <row r="30" spans="2:9" s="4" customFormat="1" ht="18" customHeight="1" x14ac:dyDescent="0.2">
      <c r="B30" s="113"/>
      <c r="C30" s="113"/>
      <c r="D30" s="113"/>
      <c r="E30" s="113"/>
      <c r="F30" s="113"/>
      <c r="G30" s="114" t="s">
        <v>87</v>
      </c>
      <c r="H30" s="114" t="s">
        <v>87</v>
      </c>
      <c r="I30" s="114" t="s">
        <v>0</v>
      </c>
    </row>
    <row r="31" spans="2:9" s="4" customFormat="1" ht="18" customHeight="1" x14ac:dyDescent="0.2">
      <c r="B31" s="113"/>
      <c r="C31" s="113"/>
      <c r="D31" s="113"/>
      <c r="E31" s="113"/>
      <c r="F31" s="113"/>
      <c r="G31" s="113"/>
      <c r="H31" s="113"/>
      <c r="I31" s="113"/>
    </row>
    <row r="32" spans="2:9" s="4" customFormat="1" ht="18" customHeight="1" x14ac:dyDescent="0.2">
      <c r="B32" s="113"/>
      <c r="C32" s="113"/>
      <c r="D32" s="113"/>
      <c r="E32" s="113"/>
      <c r="F32" s="113"/>
      <c r="G32" s="113"/>
      <c r="H32" s="113"/>
      <c r="I32" s="113"/>
    </row>
    <row r="33" spans="2:9" s="4" customFormat="1" ht="18" customHeight="1" x14ac:dyDescent="0.2">
      <c r="B33" s="113"/>
      <c r="C33" s="113"/>
      <c r="D33" s="113"/>
      <c r="E33" s="113"/>
      <c r="F33" s="113"/>
      <c r="G33" s="113"/>
      <c r="H33" s="113"/>
      <c r="I33" s="113"/>
    </row>
    <row r="34" spans="2:9" s="4" customFormat="1" ht="18" customHeight="1" x14ac:dyDescent="0.2">
      <c r="B34" s="113"/>
      <c r="C34" s="113"/>
      <c r="D34" s="113"/>
      <c r="E34" s="113"/>
      <c r="F34" s="113"/>
      <c r="G34" s="113"/>
      <c r="H34" s="113"/>
      <c r="I34" s="113"/>
    </row>
    <row r="35" spans="2:9" s="4" customFormat="1" ht="18" customHeight="1" x14ac:dyDescent="0.2">
      <c r="B35" s="113"/>
      <c r="C35" s="113"/>
      <c r="D35" s="113"/>
      <c r="E35" s="113"/>
      <c r="F35" s="113"/>
      <c r="G35" s="113"/>
      <c r="H35" s="113"/>
      <c r="I35" s="113"/>
    </row>
    <row r="36" spans="2:9" s="4" customFormat="1" ht="18" customHeight="1" x14ac:dyDescent="0.2">
      <c r="B36" s="113"/>
      <c r="C36" s="113"/>
      <c r="D36" s="113"/>
      <c r="E36" s="113"/>
      <c r="F36" s="113"/>
      <c r="G36" s="113"/>
      <c r="H36" s="113"/>
      <c r="I36" s="113"/>
    </row>
    <row r="37" spans="2:9" s="4" customFormat="1" ht="18" customHeight="1" x14ac:dyDescent="0.2">
      <c r="B37" s="113"/>
      <c r="C37" s="113"/>
      <c r="D37" s="113"/>
      <c r="E37" s="113"/>
      <c r="F37" s="113"/>
      <c r="G37" s="113"/>
      <c r="H37" s="113"/>
      <c r="I37" s="113"/>
    </row>
    <row r="38" spans="2:9" s="4" customFormat="1" ht="18" customHeight="1" x14ac:dyDescent="0.2">
      <c r="B38" s="113"/>
      <c r="C38" s="113"/>
      <c r="D38" s="113"/>
      <c r="E38" s="113"/>
      <c r="F38" s="113"/>
      <c r="G38" s="113"/>
      <c r="H38" s="113"/>
      <c r="I38" s="113"/>
    </row>
    <row r="39" spans="2:9" s="4" customFormat="1" ht="18" customHeight="1" x14ac:dyDescent="0.2">
      <c r="B39" s="113"/>
      <c r="C39" s="113"/>
      <c r="D39" s="113"/>
      <c r="E39" s="113"/>
      <c r="F39" s="113"/>
      <c r="G39" s="113"/>
      <c r="H39" s="113"/>
      <c r="I39" s="113"/>
    </row>
    <row r="40" spans="2:9" s="4" customFormat="1" ht="18" customHeight="1" x14ac:dyDescent="0.2">
      <c r="B40" s="113"/>
      <c r="C40" s="113"/>
      <c r="D40" s="113"/>
      <c r="E40" s="113"/>
      <c r="F40" s="113"/>
      <c r="G40" s="113"/>
      <c r="H40" s="113"/>
      <c r="I40" s="113"/>
    </row>
    <row r="41" spans="2:9" s="146" customFormat="1" ht="30" customHeight="1" x14ac:dyDescent="0.2"/>
    <row r="42" spans="2:9" s="4" customFormat="1" ht="18" customHeight="1" x14ac:dyDescent="0.2">
      <c r="B42" s="113"/>
      <c r="C42" s="113"/>
      <c r="D42" s="113"/>
      <c r="E42" s="113"/>
      <c r="F42" s="113"/>
      <c r="G42" s="113"/>
      <c r="H42" s="113"/>
      <c r="I42" s="113"/>
    </row>
    <row r="43" spans="2:9" s="4" customFormat="1" ht="18" customHeight="1" x14ac:dyDescent="0.2">
      <c r="B43" s="113"/>
      <c r="C43" s="113"/>
      <c r="D43" s="113"/>
      <c r="E43" s="113"/>
      <c r="F43" s="113"/>
      <c r="G43" s="113"/>
      <c r="H43" s="113"/>
      <c r="I43" s="113"/>
    </row>
    <row r="44" spans="2:9" s="4" customFormat="1" ht="18" customHeight="1" x14ac:dyDescent="0.2">
      <c r="B44" s="113"/>
      <c r="C44" s="113"/>
      <c r="D44" s="113"/>
      <c r="E44" s="113"/>
      <c r="F44" s="113"/>
      <c r="G44" s="113"/>
      <c r="H44" s="113"/>
      <c r="I44" s="113"/>
    </row>
    <row r="45" spans="2:9" s="4" customFormat="1" ht="18" customHeight="1" x14ac:dyDescent="0.2">
      <c r="B45" s="113"/>
      <c r="C45" s="113"/>
      <c r="D45" s="113"/>
      <c r="E45" s="113"/>
      <c r="F45" s="113"/>
      <c r="G45" s="113"/>
      <c r="H45" s="113"/>
      <c r="I45" s="113"/>
    </row>
    <row r="46" spans="2:9" s="4" customFormat="1" ht="18" customHeight="1" x14ac:dyDescent="0.2">
      <c r="B46" s="113"/>
      <c r="C46" s="113"/>
      <c r="D46" s="113"/>
      <c r="E46" s="113"/>
      <c r="F46" s="113"/>
      <c r="G46" s="113"/>
      <c r="H46" s="113"/>
      <c r="I46" s="113"/>
    </row>
    <row r="47" spans="2:9" s="4" customFormat="1" ht="18" customHeight="1" x14ac:dyDescent="0.2">
      <c r="B47" s="113"/>
      <c r="C47" s="113"/>
      <c r="D47" s="113"/>
      <c r="E47" s="113"/>
      <c r="F47" s="113"/>
      <c r="G47" s="113"/>
      <c r="H47" s="113"/>
      <c r="I47" s="113"/>
    </row>
    <row r="48" spans="2:9" s="4" customFormat="1" ht="18" customHeight="1" x14ac:dyDescent="0.2">
      <c r="B48" s="113"/>
      <c r="C48" s="113"/>
      <c r="D48" s="113"/>
      <c r="E48" s="113"/>
      <c r="F48" s="113"/>
      <c r="G48" s="113"/>
      <c r="H48" s="113"/>
      <c r="I48" s="113"/>
    </row>
    <row r="49" spans="2:9" s="4" customFormat="1" ht="18" customHeight="1" x14ac:dyDescent="0.2">
      <c r="B49" s="113"/>
      <c r="C49" s="113"/>
      <c r="D49" s="113"/>
      <c r="E49" s="113"/>
      <c r="F49" s="113"/>
      <c r="G49" s="113"/>
      <c r="H49" s="113"/>
      <c r="I49" s="113"/>
    </row>
    <row r="50" spans="2:9" s="4" customFormat="1" ht="18" customHeight="1" x14ac:dyDescent="0.2">
      <c r="B50" s="113"/>
      <c r="C50" s="113"/>
      <c r="D50" s="113"/>
      <c r="E50" s="113"/>
      <c r="F50" s="113"/>
      <c r="G50" s="113"/>
      <c r="H50" s="113"/>
      <c r="I50" s="113"/>
    </row>
    <row r="51" spans="2:9" s="4" customFormat="1" ht="18" customHeight="1" x14ac:dyDescent="0.2">
      <c r="B51" s="113"/>
      <c r="C51" s="113"/>
      <c r="D51" s="113"/>
      <c r="E51" s="113"/>
      <c r="F51" s="113"/>
      <c r="G51" s="113"/>
      <c r="H51" s="113"/>
      <c r="I51" s="113"/>
    </row>
    <row r="52" spans="2:9" s="4" customFormat="1" ht="18" customHeight="1" x14ac:dyDescent="0.2">
      <c r="B52" s="113"/>
      <c r="C52" s="113"/>
      <c r="D52" s="113"/>
      <c r="E52" s="113"/>
      <c r="F52" s="113"/>
      <c r="G52" s="113"/>
      <c r="H52" s="113"/>
      <c r="I52" s="113"/>
    </row>
    <row r="53" spans="2:9" s="4" customFormat="1" ht="18" customHeight="1" x14ac:dyDescent="0.2">
      <c r="B53" s="113"/>
      <c r="C53" s="113"/>
      <c r="D53" s="113"/>
      <c r="E53" s="113"/>
      <c r="F53" s="113"/>
      <c r="G53" s="113"/>
      <c r="H53" s="113"/>
      <c r="I53" s="113"/>
    </row>
    <row r="54" spans="2:9" s="4" customFormat="1" ht="18" customHeight="1" x14ac:dyDescent="0.2">
      <c r="B54" s="113"/>
      <c r="C54" s="113"/>
      <c r="D54" s="113"/>
      <c r="E54" s="113"/>
      <c r="F54" s="113"/>
      <c r="G54" s="113"/>
      <c r="H54" s="113"/>
      <c r="I54" s="113"/>
    </row>
    <row r="55" spans="2:9" s="4" customFormat="1" ht="18" customHeight="1" x14ac:dyDescent="0.2">
      <c r="B55" s="113"/>
      <c r="C55" s="113"/>
      <c r="D55" s="113"/>
      <c r="E55" s="113"/>
      <c r="F55" s="113"/>
      <c r="G55" s="113"/>
      <c r="H55" s="113"/>
      <c r="I55" s="113"/>
    </row>
    <row r="56" spans="2:9" s="4" customFormat="1" ht="18" customHeight="1" x14ac:dyDescent="0.2">
      <c r="B56" s="113"/>
      <c r="C56" s="113"/>
      <c r="D56" s="113"/>
      <c r="E56" s="113"/>
      <c r="F56" s="113"/>
      <c r="G56" s="113"/>
      <c r="H56" s="113"/>
      <c r="I56" s="113"/>
    </row>
    <row r="57" spans="2:9" s="4" customFormat="1" ht="18" customHeight="1" x14ac:dyDescent="0.2">
      <c r="B57" s="113"/>
      <c r="C57" s="113"/>
      <c r="D57" s="113"/>
      <c r="E57" s="113"/>
      <c r="F57" s="113"/>
      <c r="G57" s="113"/>
      <c r="H57" s="113"/>
      <c r="I57" s="113"/>
    </row>
    <row r="58" spans="2:9" s="4" customFormat="1" ht="18" customHeight="1" x14ac:dyDescent="0.2">
      <c r="B58" s="113"/>
      <c r="C58" s="113"/>
      <c r="D58" s="113"/>
      <c r="E58" s="113"/>
      <c r="F58" s="113"/>
      <c r="G58" s="113"/>
      <c r="H58" s="113"/>
      <c r="I58" s="113"/>
    </row>
    <row r="59" spans="2:9" s="4" customFormat="1" ht="18" customHeight="1" x14ac:dyDescent="0.2">
      <c r="B59" s="113"/>
      <c r="C59" s="113"/>
      <c r="D59" s="113"/>
      <c r="E59" s="113"/>
      <c r="F59" s="113"/>
      <c r="G59" s="113"/>
      <c r="H59" s="113"/>
      <c r="I59" s="113"/>
    </row>
    <row r="60" spans="2:9" s="4" customFormat="1" ht="18" customHeight="1" x14ac:dyDescent="0.2">
      <c r="B60" s="113"/>
      <c r="C60" s="113"/>
      <c r="D60" s="113"/>
      <c r="E60" s="113"/>
      <c r="F60" s="113"/>
      <c r="G60" s="113"/>
      <c r="H60" s="113"/>
      <c r="I60" s="113"/>
    </row>
    <row r="61" spans="2:9" s="4" customFormat="1" ht="18" customHeight="1" x14ac:dyDescent="0.2">
      <c r="B61" s="113"/>
      <c r="C61" s="113"/>
      <c r="D61" s="113"/>
      <c r="E61" s="113"/>
      <c r="F61" s="113"/>
      <c r="G61" s="113"/>
      <c r="H61" s="113"/>
      <c r="I61" s="113"/>
    </row>
    <row r="62" spans="2:9" s="4" customFormat="1" ht="18" customHeight="1" x14ac:dyDescent="0.2">
      <c r="B62" s="113"/>
      <c r="C62" s="113"/>
      <c r="D62" s="113"/>
      <c r="E62" s="113"/>
      <c r="F62" s="113"/>
      <c r="G62" s="113"/>
      <c r="H62" s="113"/>
      <c r="I62" s="113"/>
    </row>
    <row r="63" spans="2:9" s="4" customFormat="1" ht="18" customHeight="1" x14ac:dyDescent="0.2">
      <c r="B63" s="113"/>
      <c r="C63" s="113"/>
      <c r="D63" s="113"/>
      <c r="E63" s="113"/>
      <c r="F63" s="113"/>
      <c r="G63" s="113"/>
      <c r="H63" s="113"/>
      <c r="I63" s="113"/>
    </row>
    <row r="64" spans="2:9" s="4" customFormat="1" ht="18" customHeight="1" x14ac:dyDescent="0.2">
      <c r="B64" s="113"/>
      <c r="C64" s="113"/>
      <c r="D64" s="113"/>
      <c r="E64" s="113"/>
      <c r="F64" s="113"/>
      <c r="G64" s="113"/>
      <c r="H64" s="113"/>
      <c r="I64" s="113"/>
    </row>
    <row r="65" spans="2:9" s="4" customFormat="1" ht="18" customHeight="1" x14ac:dyDescent="0.2">
      <c r="B65" s="113"/>
      <c r="C65" s="113"/>
      <c r="D65" s="113"/>
      <c r="E65" s="113"/>
      <c r="F65" s="113"/>
      <c r="G65" s="113"/>
      <c r="H65" s="113"/>
      <c r="I65" s="113"/>
    </row>
    <row r="66" spans="2:9" s="4" customFormat="1" ht="18" customHeight="1" x14ac:dyDescent="0.2">
      <c r="B66" s="113"/>
      <c r="C66" s="113"/>
      <c r="D66" s="113"/>
      <c r="E66" s="113"/>
      <c r="F66" s="113"/>
      <c r="G66" s="113"/>
      <c r="H66" s="113"/>
      <c r="I66" s="113"/>
    </row>
    <row r="67" spans="2:9" s="4" customFormat="1" ht="18" customHeight="1" x14ac:dyDescent="0.2">
      <c r="B67" s="113"/>
      <c r="C67" s="113"/>
      <c r="D67" s="113"/>
      <c r="E67" s="113"/>
      <c r="F67" s="113"/>
      <c r="G67" s="113"/>
      <c r="H67" s="113"/>
      <c r="I67" s="113"/>
    </row>
    <row r="68" spans="2:9" s="4" customFormat="1" ht="18" customHeight="1" x14ac:dyDescent="0.2">
      <c r="B68" s="113"/>
      <c r="C68" s="113"/>
      <c r="D68" s="113"/>
      <c r="E68" s="113"/>
      <c r="F68" s="113"/>
      <c r="G68" s="113"/>
      <c r="H68" s="113"/>
      <c r="I68" s="113"/>
    </row>
    <row r="69" spans="2:9" s="4" customFormat="1" ht="18" customHeight="1" x14ac:dyDescent="0.2">
      <c r="B69" s="113"/>
      <c r="C69" s="113"/>
      <c r="D69" s="113"/>
      <c r="E69" s="113"/>
      <c r="F69" s="113"/>
      <c r="G69" s="113"/>
      <c r="H69" s="113"/>
      <c r="I69" s="113"/>
    </row>
    <row r="70" spans="2:9" s="4" customFormat="1" ht="18" customHeight="1" x14ac:dyDescent="0.2">
      <c r="B70" s="113"/>
      <c r="C70" s="113"/>
      <c r="D70" s="113"/>
      <c r="E70" s="113"/>
      <c r="F70" s="113"/>
      <c r="G70" s="113"/>
      <c r="H70" s="113"/>
      <c r="I70" s="113"/>
    </row>
    <row r="71" spans="2:9" s="4" customFormat="1" ht="18" customHeight="1" x14ac:dyDescent="0.2">
      <c r="B71" s="113"/>
      <c r="C71" s="113"/>
      <c r="D71" s="113"/>
      <c r="E71" s="113"/>
      <c r="F71" s="113"/>
      <c r="G71" s="113"/>
      <c r="H71" s="113"/>
      <c r="I71" s="113"/>
    </row>
    <row r="72" spans="2:9" s="4" customFormat="1" ht="18" customHeight="1" x14ac:dyDescent="0.2">
      <c r="B72" s="113"/>
      <c r="C72" s="113"/>
      <c r="D72" s="113"/>
      <c r="E72" s="113"/>
      <c r="F72" s="113"/>
      <c r="G72" s="113"/>
      <c r="H72" s="113"/>
      <c r="I72" s="113"/>
    </row>
    <row r="73" spans="2:9" s="4" customFormat="1" ht="18" customHeight="1" x14ac:dyDescent="0.2">
      <c r="B73" s="113"/>
      <c r="C73" s="113"/>
      <c r="D73" s="113"/>
      <c r="E73" s="113"/>
      <c r="F73" s="113"/>
      <c r="G73" s="113"/>
      <c r="H73" s="113"/>
      <c r="I73" s="113"/>
    </row>
    <row r="74" spans="2:9" s="4" customFormat="1" ht="18" customHeight="1" x14ac:dyDescent="0.2">
      <c r="B74" s="113"/>
      <c r="C74" s="113"/>
      <c r="D74" s="113"/>
      <c r="E74" s="113"/>
      <c r="F74" s="113"/>
      <c r="G74" s="113"/>
      <c r="H74" s="113"/>
      <c r="I74" s="113"/>
    </row>
    <row r="75" spans="2:9" s="4" customFormat="1" ht="18" customHeight="1" x14ac:dyDescent="0.2">
      <c r="B75" s="113"/>
      <c r="C75" s="113"/>
      <c r="D75" s="113"/>
      <c r="E75" s="113"/>
      <c r="F75" s="113"/>
      <c r="G75" s="113"/>
      <c r="H75" s="113"/>
      <c r="I75" s="113"/>
    </row>
    <row r="76" spans="2:9" s="4" customFormat="1" ht="18" customHeight="1" x14ac:dyDescent="0.2">
      <c r="B76" s="113"/>
      <c r="C76" s="113"/>
      <c r="D76" s="113"/>
      <c r="E76" s="113"/>
      <c r="F76" s="113"/>
      <c r="G76" s="113"/>
      <c r="H76" s="113"/>
      <c r="I76" s="113"/>
    </row>
    <row r="77" spans="2:9" s="4" customFormat="1" ht="18" customHeight="1" x14ac:dyDescent="0.2">
      <c r="B77" s="113"/>
      <c r="C77" s="113"/>
      <c r="D77" s="113"/>
      <c r="E77" s="113"/>
      <c r="F77" s="113"/>
      <c r="G77" s="113"/>
      <c r="H77" s="113"/>
      <c r="I77" s="113"/>
    </row>
    <row r="78" spans="2:9" s="4" customFormat="1" ht="18" customHeight="1" x14ac:dyDescent="0.2">
      <c r="B78" s="113"/>
      <c r="C78" s="113"/>
      <c r="D78" s="113"/>
      <c r="E78" s="113"/>
      <c r="F78" s="113"/>
      <c r="G78" s="113"/>
      <c r="H78" s="113"/>
      <c r="I78" s="113"/>
    </row>
    <row r="79" spans="2:9" s="4" customFormat="1" ht="18" customHeight="1" x14ac:dyDescent="0.2">
      <c r="B79" s="113"/>
      <c r="C79" s="113"/>
      <c r="D79" s="113"/>
      <c r="E79" s="113"/>
      <c r="F79" s="113"/>
      <c r="G79" s="113"/>
      <c r="H79" s="113"/>
      <c r="I79" s="113"/>
    </row>
    <row r="80" spans="2:9" s="4" customFormat="1" ht="18" customHeight="1" x14ac:dyDescent="0.2">
      <c r="B80" s="113"/>
      <c r="C80" s="113"/>
      <c r="D80" s="113"/>
      <c r="E80" s="113"/>
      <c r="F80" s="113"/>
      <c r="G80" s="113"/>
      <c r="H80" s="113"/>
      <c r="I80" s="113"/>
    </row>
    <row r="81" spans="2:9" s="4" customFormat="1" ht="18" customHeight="1" x14ac:dyDescent="0.2">
      <c r="B81" s="113"/>
      <c r="C81" s="113"/>
      <c r="D81" s="113"/>
      <c r="E81" s="113"/>
      <c r="F81" s="113"/>
      <c r="G81" s="113"/>
      <c r="H81" s="113"/>
      <c r="I81" s="113"/>
    </row>
    <row r="82" spans="2:9" s="4" customFormat="1" ht="18" customHeight="1" x14ac:dyDescent="0.2">
      <c r="B82" s="113"/>
      <c r="C82" s="113"/>
      <c r="D82" s="113"/>
      <c r="E82" s="113"/>
      <c r="F82" s="113"/>
      <c r="G82" s="113"/>
      <c r="H82" s="113"/>
      <c r="I82" s="113"/>
    </row>
    <row r="83" spans="2:9" s="4" customFormat="1" ht="18" customHeight="1" x14ac:dyDescent="0.2">
      <c r="B83" s="113"/>
      <c r="C83" s="113"/>
      <c r="D83" s="113"/>
      <c r="E83" s="113"/>
      <c r="F83" s="113"/>
      <c r="G83" s="113"/>
      <c r="H83" s="113"/>
      <c r="I83" s="113"/>
    </row>
    <row r="84" spans="2:9" s="4" customFormat="1" ht="18" customHeight="1" x14ac:dyDescent="0.2">
      <c r="B84" s="113"/>
      <c r="C84" s="113"/>
      <c r="D84" s="113"/>
      <c r="E84" s="113"/>
      <c r="F84" s="113"/>
      <c r="G84" s="113"/>
      <c r="H84" s="113"/>
      <c r="I84" s="113"/>
    </row>
    <row r="85" spans="2:9" s="4" customFormat="1" ht="18" customHeight="1" x14ac:dyDescent="0.2">
      <c r="B85" s="113"/>
      <c r="C85" s="113"/>
      <c r="D85" s="113"/>
      <c r="E85" s="113"/>
      <c r="F85" s="113"/>
      <c r="G85" s="113"/>
      <c r="H85" s="113"/>
      <c r="I85" s="113"/>
    </row>
    <row r="86" spans="2:9" s="4" customFormat="1" ht="18" customHeight="1" x14ac:dyDescent="0.2">
      <c r="B86" s="113"/>
      <c r="C86" s="113"/>
      <c r="D86" s="113"/>
      <c r="E86" s="113"/>
      <c r="F86" s="113"/>
      <c r="G86" s="113"/>
      <c r="H86" s="113"/>
      <c r="I86" s="113"/>
    </row>
    <row r="87" spans="2:9" s="4" customFormat="1" ht="18" customHeight="1" x14ac:dyDescent="0.2">
      <c r="B87" s="113"/>
      <c r="C87" s="113"/>
      <c r="D87" s="113"/>
      <c r="E87" s="113"/>
      <c r="F87" s="113"/>
      <c r="G87" s="113"/>
      <c r="H87" s="113"/>
      <c r="I87" s="113"/>
    </row>
    <row r="88" spans="2:9" s="4" customFormat="1" ht="18" customHeight="1" x14ac:dyDescent="0.2">
      <c r="B88" s="113"/>
      <c r="C88" s="113"/>
      <c r="D88" s="113"/>
      <c r="E88" s="113"/>
      <c r="F88" s="113"/>
      <c r="G88" s="113"/>
      <c r="H88" s="113"/>
      <c r="I88" s="113"/>
    </row>
    <row r="89" spans="2:9" s="4" customFormat="1" ht="18" customHeight="1" x14ac:dyDescent="0.2">
      <c r="B89" s="113"/>
      <c r="C89" s="113"/>
      <c r="D89" s="113"/>
      <c r="E89" s="113"/>
      <c r="F89" s="113"/>
      <c r="G89" s="113"/>
      <c r="H89" s="113"/>
      <c r="I89" s="113"/>
    </row>
    <row r="90" spans="2:9" s="4" customFormat="1" ht="18" customHeight="1" x14ac:dyDescent="0.2">
      <c r="B90" s="113"/>
      <c r="C90" s="113"/>
      <c r="D90" s="113"/>
      <c r="E90" s="113"/>
      <c r="F90" s="113"/>
      <c r="G90" s="113"/>
      <c r="H90" s="113"/>
      <c r="I90" s="113"/>
    </row>
    <row r="91" spans="2:9" s="4" customFormat="1" ht="18" customHeight="1" x14ac:dyDescent="0.2">
      <c r="B91" s="113"/>
      <c r="C91" s="113"/>
      <c r="D91" s="113"/>
      <c r="E91" s="113"/>
      <c r="F91" s="113"/>
      <c r="G91" s="113"/>
      <c r="H91" s="113"/>
      <c r="I91" s="113"/>
    </row>
    <row r="92" spans="2:9" s="4" customFormat="1" ht="18" customHeight="1" x14ac:dyDescent="0.2">
      <c r="B92" s="113"/>
      <c r="C92" s="113"/>
      <c r="D92" s="113"/>
      <c r="E92" s="113"/>
      <c r="F92" s="113"/>
      <c r="G92" s="113"/>
      <c r="H92" s="113"/>
      <c r="I92" s="113"/>
    </row>
    <row r="93" spans="2:9" s="4" customFormat="1" ht="18" customHeight="1" x14ac:dyDescent="0.2">
      <c r="B93" s="113"/>
      <c r="C93" s="113"/>
      <c r="D93" s="113"/>
      <c r="E93" s="113"/>
      <c r="F93" s="113"/>
      <c r="G93" s="113"/>
      <c r="H93" s="113"/>
      <c r="I93" s="113"/>
    </row>
    <row r="94" spans="2:9" s="4" customFormat="1" ht="18" customHeight="1" x14ac:dyDescent="0.2">
      <c r="B94" s="113"/>
      <c r="C94" s="113"/>
      <c r="D94" s="113"/>
      <c r="E94" s="113"/>
      <c r="F94" s="113"/>
      <c r="G94" s="113"/>
      <c r="H94" s="113"/>
      <c r="I94" s="113"/>
    </row>
    <row r="95" spans="2:9" s="4" customFormat="1" ht="18" customHeight="1" x14ac:dyDescent="0.2">
      <c r="B95" s="113"/>
      <c r="C95" s="113"/>
      <c r="D95" s="113"/>
      <c r="E95" s="113"/>
      <c r="F95" s="113"/>
      <c r="G95" s="113"/>
      <c r="H95" s="113"/>
      <c r="I95" s="113"/>
    </row>
    <row r="96" spans="2:9" s="4" customFormat="1" ht="18" customHeight="1" x14ac:dyDescent="0.2">
      <c r="B96" s="113"/>
      <c r="C96" s="113"/>
      <c r="D96" s="113"/>
      <c r="E96" s="113"/>
      <c r="F96" s="113"/>
      <c r="G96" s="113"/>
      <c r="H96" s="113"/>
      <c r="I96" s="113"/>
    </row>
    <row r="97" spans="2:9" s="4" customFormat="1" ht="18" customHeight="1" x14ac:dyDescent="0.2">
      <c r="B97" s="113"/>
      <c r="C97" s="113"/>
      <c r="D97" s="113"/>
      <c r="E97" s="113"/>
      <c r="F97" s="113"/>
      <c r="G97" s="113"/>
      <c r="H97" s="113"/>
      <c r="I97" s="113"/>
    </row>
    <row r="98" spans="2:9" s="4" customFormat="1" ht="18" customHeight="1" x14ac:dyDescent="0.2">
      <c r="B98" s="113"/>
      <c r="C98" s="113"/>
      <c r="D98" s="113"/>
      <c r="E98" s="113"/>
      <c r="F98" s="113"/>
      <c r="G98" s="113"/>
      <c r="H98" s="113"/>
      <c r="I98" s="113"/>
    </row>
    <row r="99" spans="2:9" s="4" customFormat="1" ht="18" customHeight="1" x14ac:dyDescent="0.2">
      <c r="B99" s="113"/>
      <c r="C99" s="113"/>
      <c r="D99" s="113"/>
      <c r="E99" s="113"/>
      <c r="F99" s="113"/>
      <c r="G99" s="113"/>
      <c r="H99" s="113"/>
      <c r="I99" s="113"/>
    </row>
    <row r="100" spans="2:9" s="4" customFormat="1" ht="18" customHeight="1" x14ac:dyDescent="0.2">
      <c r="B100" s="113"/>
      <c r="C100" s="113"/>
      <c r="D100" s="113"/>
      <c r="E100" s="113"/>
      <c r="F100" s="113"/>
      <c r="G100" s="113"/>
      <c r="H100" s="113"/>
      <c r="I100" s="113"/>
    </row>
    <row r="101" spans="2:9" s="4" customFormat="1" ht="18" customHeight="1" x14ac:dyDescent="0.2">
      <c r="B101" s="113"/>
      <c r="C101" s="113"/>
      <c r="D101" s="113"/>
      <c r="E101" s="113"/>
      <c r="F101" s="113"/>
      <c r="G101" s="113"/>
      <c r="H101" s="113"/>
      <c r="I101" s="113"/>
    </row>
    <row r="102" spans="2:9" s="4" customFormat="1" ht="18" customHeight="1" x14ac:dyDescent="0.2">
      <c r="B102" s="113"/>
      <c r="C102" s="113"/>
      <c r="D102" s="113"/>
      <c r="E102" s="113"/>
      <c r="F102" s="113"/>
      <c r="G102" s="113"/>
      <c r="H102" s="113"/>
      <c r="I102" s="113"/>
    </row>
    <row r="103" spans="2:9" s="4" customFormat="1" ht="18" customHeight="1" x14ac:dyDescent="0.2">
      <c r="B103" s="113"/>
      <c r="C103" s="113"/>
      <c r="D103" s="113"/>
      <c r="E103" s="113"/>
      <c r="F103" s="113"/>
      <c r="G103" s="113"/>
      <c r="H103" s="113"/>
      <c r="I103" s="113"/>
    </row>
    <row r="104" spans="2:9" s="4" customFormat="1" ht="18" customHeight="1" x14ac:dyDescent="0.2">
      <c r="B104" s="113"/>
      <c r="C104" s="113"/>
      <c r="D104" s="113"/>
      <c r="E104" s="113"/>
      <c r="F104" s="113"/>
      <c r="G104" s="113"/>
      <c r="H104" s="113"/>
      <c r="I104" s="113"/>
    </row>
    <row r="105" spans="2:9" s="4" customFormat="1" ht="18" customHeight="1" x14ac:dyDescent="0.2">
      <c r="B105" s="113"/>
      <c r="C105" s="113"/>
      <c r="D105" s="113"/>
      <c r="E105" s="113"/>
      <c r="F105" s="113"/>
      <c r="G105" s="113"/>
      <c r="H105" s="113"/>
      <c r="I105" s="113"/>
    </row>
    <row r="106" spans="2:9" s="4" customFormat="1" ht="18" customHeight="1" x14ac:dyDescent="0.2">
      <c r="B106" s="113"/>
      <c r="C106" s="113"/>
      <c r="D106" s="113"/>
      <c r="E106" s="113"/>
      <c r="F106" s="113"/>
      <c r="G106" s="113"/>
      <c r="H106" s="113"/>
      <c r="I106" s="113"/>
    </row>
    <row r="107" spans="2:9" s="4" customFormat="1" ht="18" customHeight="1" x14ac:dyDescent="0.2">
      <c r="B107" s="113"/>
      <c r="C107" s="113"/>
      <c r="D107" s="113"/>
      <c r="E107" s="113"/>
      <c r="F107" s="113"/>
      <c r="G107" s="113"/>
      <c r="H107" s="113"/>
      <c r="I107" s="113"/>
    </row>
    <row r="108" spans="2:9" s="4" customFormat="1" ht="18" customHeight="1" x14ac:dyDescent="0.2">
      <c r="B108" s="113"/>
      <c r="C108" s="113"/>
      <c r="D108" s="113"/>
      <c r="E108" s="113"/>
      <c r="F108" s="113"/>
      <c r="G108" s="113"/>
      <c r="H108" s="113"/>
      <c r="I108" s="113"/>
    </row>
    <row r="109" spans="2:9" s="4" customFormat="1" ht="18" customHeight="1" x14ac:dyDescent="0.2">
      <c r="B109" s="113"/>
      <c r="C109" s="113"/>
      <c r="D109" s="113"/>
      <c r="E109" s="113"/>
      <c r="F109" s="113"/>
      <c r="G109" s="113"/>
      <c r="H109" s="113"/>
      <c r="I109" s="113"/>
    </row>
    <row r="110" spans="2:9" s="4" customFormat="1" ht="18" customHeight="1" x14ac:dyDescent="0.2">
      <c r="B110" s="113"/>
      <c r="C110" s="113"/>
      <c r="D110" s="113"/>
      <c r="E110" s="113"/>
      <c r="F110" s="113"/>
      <c r="G110" s="113"/>
      <c r="H110" s="113"/>
      <c r="I110" s="113"/>
    </row>
    <row r="111" spans="2:9" s="4" customFormat="1" ht="18" customHeight="1" x14ac:dyDescent="0.2">
      <c r="B111" s="113"/>
      <c r="C111" s="113"/>
      <c r="D111" s="113"/>
      <c r="E111" s="113"/>
      <c r="F111" s="113"/>
      <c r="G111" s="113"/>
      <c r="H111" s="113"/>
      <c r="I111" s="113"/>
    </row>
    <row r="112" spans="2:9" s="4" customFormat="1" ht="18" customHeight="1" x14ac:dyDescent="0.2">
      <c r="B112" s="113"/>
      <c r="C112" s="113"/>
      <c r="D112" s="113"/>
      <c r="E112" s="113"/>
      <c r="F112" s="113"/>
      <c r="G112" s="113"/>
      <c r="H112" s="113"/>
      <c r="I112" s="113"/>
    </row>
    <row r="113" spans="2:9" s="4" customFormat="1" ht="18" customHeight="1" x14ac:dyDescent="0.2">
      <c r="B113" s="113"/>
      <c r="C113" s="113"/>
      <c r="D113" s="113"/>
      <c r="E113" s="113"/>
      <c r="F113" s="113"/>
      <c r="G113" s="113"/>
      <c r="H113" s="113"/>
      <c r="I113" s="113"/>
    </row>
    <row r="114" spans="2:9" s="4" customFormat="1" ht="18" customHeight="1" x14ac:dyDescent="0.2">
      <c r="B114" s="113"/>
      <c r="C114" s="113"/>
      <c r="D114" s="113"/>
      <c r="E114" s="113"/>
      <c r="F114" s="113"/>
      <c r="G114" s="113"/>
      <c r="H114" s="113"/>
      <c r="I114" s="113"/>
    </row>
    <row r="115" spans="2:9" s="4" customFormat="1" ht="18" customHeight="1" x14ac:dyDescent="0.2">
      <c r="B115" s="113"/>
      <c r="C115" s="113"/>
      <c r="D115" s="113"/>
      <c r="E115" s="113"/>
      <c r="F115" s="113"/>
      <c r="G115" s="113"/>
      <c r="H115" s="113"/>
      <c r="I115" s="113"/>
    </row>
    <row r="116" spans="2:9" s="4" customFormat="1" ht="18" customHeight="1" x14ac:dyDescent="0.2">
      <c r="B116" s="113"/>
      <c r="C116" s="113"/>
      <c r="D116" s="113"/>
      <c r="E116" s="113"/>
      <c r="F116" s="113"/>
      <c r="G116" s="113"/>
      <c r="H116" s="113"/>
      <c r="I116" s="113"/>
    </row>
    <row r="117" spans="2:9" s="4" customFormat="1" ht="18" customHeight="1" x14ac:dyDescent="0.2">
      <c r="B117" s="113"/>
      <c r="C117" s="113"/>
      <c r="D117" s="113"/>
      <c r="E117" s="113"/>
      <c r="F117" s="113"/>
      <c r="G117" s="113"/>
      <c r="H117" s="113"/>
      <c r="I117" s="113"/>
    </row>
    <row r="118" spans="2:9" s="4" customFormat="1" ht="18" customHeight="1" x14ac:dyDescent="0.2">
      <c r="B118" s="113"/>
      <c r="C118" s="113"/>
      <c r="D118" s="113"/>
      <c r="E118" s="113"/>
      <c r="F118" s="113"/>
      <c r="G118" s="113"/>
      <c r="H118" s="113"/>
      <c r="I118" s="113"/>
    </row>
    <row r="119" spans="2:9" s="4" customFormat="1" ht="18" customHeight="1" x14ac:dyDescent="0.2">
      <c r="B119" s="113"/>
      <c r="C119" s="113"/>
      <c r="D119" s="113"/>
      <c r="E119" s="113"/>
      <c r="F119" s="113"/>
      <c r="G119" s="113"/>
      <c r="H119" s="113"/>
      <c r="I119" s="113"/>
    </row>
    <row r="120" spans="2:9" s="4" customFormat="1" ht="18" customHeight="1" x14ac:dyDescent="0.2">
      <c r="B120" s="113"/>
      <c r="C120" s="113"/>
      <c r="D120" s="113"/>
      <c r="E120" s="113"/>
      <c r="F120" s="113"/>
      <c r="G120" s="113"/>
      <c r="H120" s="113"/>
      <c r="I120" s="113"/>
    </row>
    <row r="121" spans="2:9" s="4" customFormat="1" ht="18" customHeight="1" x14ac:dyDescent="0.2">
      <c r="B121" s="113"/>
      <c r="C121" s="113"/>
      <c r="D121" s="113"/>
      <c r="E121" s="113"/>
      <c r="F121" s="113"/>
      <c r="G121" s="113"/>
      <c r="H121" s="113"/>
      <c r="I121" s="113"/>
    </row>
    <row r="122" spans="2:9" s="4" customFormat="1" ht="18" customHeight="1" x14ac:dyDescent="0.2">
      <c r="B122" s="113"/>
      <c r="C122" s="113"/>
      <c r="D122" s="113"/>
      <c r="E122" s="113"/>
      <c r="F122" s="113"/>
      <c r="G122" s="113"/>
      <c r="H122" s="113"/>
      <c r="I122" s="113"/>
    </row>
    <row r="123" spans="2:9" s="4" customFormat="1" ht="18" customHeight="1" x14ac:dyDescent="0.2">
      <c r="B123" s="113"/>
      <c r="C123" s="113"/>
      <c r="D123" s="113"/>
      <c r="E123" s="113"/>
      <c r="F123" s="113"/>
      <c r="G123" s="113"/>
      <c r="H123" s="113"/>
      <c r="I123" s="113"/>
    </row>
    <row r="124" spans="2:9" s="4" customFormat="1" ht="18" customHeight="1" x14ac:dyDescent="0.2">
      <c r="B124" s="113"/>
      <c r="C124" s="113"/>
      <c r="D124" s="113"/>
      <c r="E124" s="113"/>
      <c r="F124" s="113"/>
      <c r="G124" s="113"/>
      <c r="H124" s="113"/>
      <c r="I124" s="113"/>
    </row>
    <row r="125" spans="2:9" s="4" customFormat="1" ht="18" customHeight="1" x14ac:dyDescent="0.2">
      <c r="B125" s="113"/>
      <c r="C125" s="113"/>
      <c r="D125" s="113"/>
      <c r="E125" s="113"/>
      <c r="F125" s="113"/>
      <c r="G125" s="113"/>
      <c r="H125" s="113"/>
      <c r="I125" s="113"/>
    </row>
    <row r="126" spans="2:9" s="4" customFormat="1" ht="18" customHeight="1" x14ac:dyDescent="0.2">
      <c r="B126" s="113"/>
      <c r="C126" s="113"/>
      <c r="D126" s="113"/>
      <c r="E126" s="113"/>
      <c r="F126" s="113"/>
      <c r="G126" s="113"/>
      <c r="H126" s="113"/>
      <c r="I126" s="113"/>
    </row>
    <row r="127" spans="2:9" s="4" customFormat="1" ht="18" customHeight="1" x14ac:dyDescent="0.2">
      <c r="B127" s="113"/>
      <c r="C127" s="113"/>
      <c r="D127" s="113"/>
      <c r="E127" s="113"/>
      <c r="F127" s="113"/>
      <c r="G127" s="113"/>
      <c r="H127" s="113"/>
      <c r="I127" s="113"/>
    </row>
    <row r="128" spans="2:9" s="4" customFormat="1" ht="18" customHeight="1" x14ac:dyDescent="0.2">
      <c r="B128" s="113"/>
      <c r="C128" s="113"/>
      <c r="D128" s="113"/>
      <c r="E128" s="113"/>
      <c r="F128" s="113"/>
      <c r="G128" s="113"/>
      <c r="H128" s="113"/>
      <c r="I128" s="113"/>
    </row>
    <row r="129" spans="2:9" s="4" customFormat="1" ht="18" customHeight="1" x14ac:dyDescent="0.2">
      <c r="B129" s="113"/>
      <c r="C129" s="113"/>
      <c r="D129" s="113"/>
      <c r="E129" s="113"/>
      <c r="F129" s="113"/>
      <c r="G129" s="113"/>
      <c r="H129" s="113"/>
      <c r="I129" s="113"/>
    </row>
    <row r="130" spans="2:9" s="4" customFormat="1" ht="18" customHeight="1" x14ac:dyDescent="0.2">
      <c r="B130" s="113"/>
      <c r="C130" s="113"/>
      <c r="D130" s="113"/>
      <c r="E130" s="113"/>
      <c r="F130" s="113"/>
      <c r="G130" s="113"/>
      <c r="H130" s="113"/>
      <c r="I130" s="113"/>
    </row>
    <row r="131" spans="2:9" s="4" customFormat="1" ht="18" customHeight="1" x14ac:dyDescent="0.2">
      <c r="B131" s="113"/>
      <c r="C131" s="113"/>
      <c r="D131" s="113"/>
      <c r="E131" s="113"/>
      <c r="F131" s="113"/>
      <c r="G131" s="113"/>
      <c r="H131" s="113"/>
      <c r="I131" s="113"/>
    </row>
    <row r="132" spans="2:9" s="4" customFormat="1" ht="18" customHeight="1" x14ac:dyDescent="0.2">
      <c r="B132" s="113"/>
      <c r="C132" s="113"/>
      <c r="D132" s="113"/>
      <c r="E132" s="113"/>
      <c r="F132" s="113"/>
      <c r="G132" s="113"/>
      <c r="H132" s="113"/>
      <c r="I132" s="113"/>
    </row>
    <row r="133" spans="2:9" s="4" customFormat="1" ht="18" customHeight="1" x14ac:dyDescent="0.2">
      <c r="B133" s="113"/>
      <c r="C133" s="113"/>
      <c r="D133" s="113"/>
      <c r="E133" s="113"/>
      <c r="F133" s="113"/>
      <c r="G133" s="113"/>
      <c r="H133" s="113"/>
      <c r="I133" s="113"/>
    </row>
    <row r="134" spans="2:9" s="4" customFormat="1" ht="18" customHeight="1" x14ac:dyDescent="0.2">
      <c r="B134" s="113"/>
      <c r="C134" s="113"/>
      <c r="D134" s="113"/>
      <c r="E134" s="113"/>
      <c r="F134" s="113"/>
      <c r="G134" s="113"/>
      <c r="H134" s="113"/>
      <c r="I134" s="113"/>
    </row>
    <row r="135" spans="2:9" s="4" customFormat="1" ht="18" customHeight="1" x14ac:dyDescent="0.2">
      <c r="B135" s="113"/>
      <c r="C135" s="113"/>
      <c r="D135" s="113"/>
      <c r="E135" s="113"/>
      <c r="F135" s="113"/>
      <c r="G135" s="113"/>
      <c r="H135" s="113"/>
      <c r="I135" s="113"/>
    </row>
    <row r="136" spans="2:9" s="4" customFormat="1" ht="18" customHeight="1" x14ac:dyDescent="0.2">
      <c r="B136" s="113"/>
      <c r="C136" s="113"/>
      <c r="D136" s="113"/>
      <c r="E136" s="113"/>
      <c r="F136" s="113"/>
      <c r="G136" s="113"/>
      <c r="H136" s="113"/>
      <c r="I136" s="113"/>
    </row>
    <row r="137" spans="2:9" s="4" customFormat="1" ht="18" customHeight="1" x14ac:dyDescent="0.2">
      <c r="B137" s="113"/>
      <c r="C137" s="113"/>
      <c r="D137" s="113"/>
      <c r="E137" s="113"/>
      <c r="F137" s="113"/>
      <c r="G137" s="113"/>
      <c r="H137" s="113"/>
      <c r="I137" s="113"/>
    </row>
    <row r="138" spans="2:9" s="4" customFormat="1" ht="18" customHeight="1" x14ac:dyDescent="0.2">
      <c r="B138" s="113"/>
      <c r="C138" s="113"/>
      <c r="D138" s="113"/>
      <c r="E138" s="113"/>
      <c r="F138" s="113"/>
      <c r="G138" s="113"/>
      <c r="H138" s="113"/>
      <c r="I138" s="113"/>
    </row>
    <row r="139" spans="2:9" s="4" customFormat="1" ht="18" customHeight="1" x14ac:dyDescent="0.2">
      <c r="B139" s="113"/>
      <c r="C139" s="113"/>
      <c r="D139" s="113"/>
      <c r="E139" s="113"/>
      <c r="F139" s="113"/>
      <c r="G139" s="113"/>
      <c r="H139" s="113"/>
      <c r="I139" s="113"/>
    </row>
    <row r="140" spans="2:9" s="4" customFormat="1" ht="18" customHeight="1" x14ac:dyDescent="0.2">
      <c r="B140" s="113"/>
      <c r="C140" s="113"/>
      <c r="D140" s="113"/>
      <c r="E140" s="113"/>
      <c r="F140" s="113"/>
      <c r="G140" s="113"/>
      <c r="H140" s="113"/>
      <c r="I140" s="113"/>
    </row>
    <row r="141" spans="2:9" s="4" customFormat="1" ht="18" customHeight="1" x14ac:dyDescent="0.2">
      <c r="B141" s="113"/>
      <c r="C141" s="113"/>
      <c r="D141" s="113"/>
      <c r="E141" s="113"/>
      <c r="F141" s="113"/>
      <c r="G141" s="113"/>
      <c r="H141" s="113"/>
      <c r="I141" s="113"/>
    </row>
    <row r="142" spans="2:9" s="4" customFormat="1" ht="18" customHeight="1" x14ac:dyDescent="0.2">
      <c r="B142" s="113"/>
      <c r="C142" s="113"/>
      <c r="D142" s="113"/>
      <c r="E142" s="113"/>
      <c r="F142" s="113"/>
      <c r="G142" s="113"/>
      <c r="H142" s="113"/>
      <c r="I142" s="113"/>
    </row>
    <row r="143" spans="2:9" s="4" customFormat="1" ht="18" customHeight="1" x14ac:dyDescent="0.2">
      <c r="B143" s="113"/>
      <c r="C143" s="113"/>
      <c r="D143" s="113"/>
      <c r="E143" s="113"/>
      <c r="F143" s="113"/>
      <c r="G143" s="113"/>
      <c r="H143" s="113"/>
      <c r="I143" s="113"/>
    </row>
    <row r="144" spans="2:9" s="4" customFormat="1" ht="18" customHeight="1" x14ac:dyDescent="0.2">
      <c r="B144" s="113"/>
      <c r="C144" s="113"/>
      <c r="D144" s="113"/>
      <c r="E144" s="113"/>
      <c r="F144" s="113"/>
      <c r="G144" s="113"/>
      <c r="H144" s="113"/>
      <c r="I144" s="113"/>
    </row>
    <row r="145" spans="2:9" s="4" customFormat="1" ht="18" customHeight="1" x14ac:dyDescent="0.2">
      <c r="B145" s="113"/>
      <c r="C145" s="113"/>
      <c r="D145" s="113"/>
      <c r="E145" s="113"/>
      <c r="F145" s="113"/>
      <c r="G145" s="113"/>
      <c r="H145" s="113"/>
      <c r="I145" s="113"/>
    </row>
    <row r="146" spans="2:9" s="4" customFormat="1" ht="18" customHeight="1" x14ac:dyDescent="0.2">
      <c r="B146" s="113"/>
      <c r="C146" s="113"/>
      <c r="D146" s="113"/>
      <c r="E146" s="113"/>
      <c r="F146" s="113"/>
      <c r="G146" s="113"/>
      <c r="H146" s="113"/>
      <c r="I146" s="113"/>
    </row>
    <row r="147" spans="2:9" s="4" customFormat="1" ht="18" customHeight="1" x14ac:dyDescent="0.2">
      <c r="B147" s="113"/>
      <c r="C147" s="113"/>
      <c r="D147" s="113"/>
      <c r="E147" s="113"/>
      <c r="F147" s="113"/>
      <c r="G147" s="113"/>
      <c r="H147" s="113"/>
      <c r="I147" s="113"/>
    </row>
    <row r="148" spans="2:9" s="4" customFormat="1" ht="18" customHeight="1" x14ac:dyDescent="0.2">
      <c r="B148" s="113"/>
      <c r="C148" s="113"/>
      <c r="D148" s="113"/>
      <c r="E148" s="113"/>
      <c r="F148" s="113"/>
      <c r="G148" s="113"/>
      <c r="H148" s="113"/>
      <c r="I148" s="113"/>
    </row>
    <row r="149" spans="2:9" s="4" customFormat="1" ht="18" customHeight="1" x14ac:dyDescent="0.2">
      <c r="B149" s="113"/>
      <c r="C149" s="113"/>
      <c r="D149" s="113"/>
      <c r="E149" s="113"/>
      <c r="F149" s="113"/>
      <c r="G149" s="113"/>
      <c r="H149" s="113"/>
      <c r="I149" s="113"/>
    </row>
    <row r="150" spans="2:9" s="4" customFormat="1" ht="18" customHeight="1" x14ac:dyDescent="0.2">
      <c r="B150" s="113"/>
      <c r="C150" s="113"/>
      <c r="D150" s="113"/>
      <c r="E150" s="113"/>
      <c r="F150" s="113"/>
      <c r="G150" s="113"/>
      <c r="H150" s="113"/>
      <c r="I150" s="113"/>
    </row>
    <row r="151" spans="2:9" s="4" customFormat="1" ht="18" customHeight="1" x14ac:dyDescent="0.2">
      <c r="B151" s="113"/>
      <c r="C151" s="113"/>
      <c r="D151" s="113"/>
      <c r="E151" s="113"/>
      <c r="F151" s="113"/>
      <c r="G151" s="113"/>
      <c r="H151" s="113"/>
      <c r="I151" s="113"/>
    </row>
    <row r="152" spans="2:9" s="4" customFormat="1" ht="18" customHeight="1" x14ac:dyDescent="0.2">
      <c r="B152" s="113"/>
      <c r="C152" s="113"/>
      <c r="D152" s="113"/>
      <c r="E152" s="113"/>
      <c r="F152" s="113"/>
      <c r="G152" s="113"/>
      <c r="H152" s="113"/>
      <c r="I152" s="113"/>
    </row>
    <row r="153" spans="2:9" s="4" customFormat="1" ht="18" customHeight="1" x14ac:dyDescent="0.2">
      <c r="B153" s="113"/>
      <c r="C153" s="113"/>
      <c r="D153" s="113"/>
      <c r="E153" s="113"/>
      <c r="F153" s="113"/>
      <c r="G153" s="113"/>
      <c r="H153" s="113"/>
      <c r="I153" s="113"/>
    </row>
    <row r="154" spans="2:9" s="4" customFormat="1" ht="18" customHeight="1" x14ac:dyDescent="0.2">
      <c r="B154" s="113"/>
      <c r="C154" s="113"/>
      <c r="D154" s="113"/>
      <c r="E154" s="113"/>
      <c r="F154" s="113"/>
      <c r="G154" s="113"/>
      <c r="H154" s="113"/>
      <c r="I154" s="113"/>
    </row>
    <row r="155" spans="2:9" s="4" customFormat="1" ht="18" customHeight="1" x14ac:dyDescent="0.2">
      <c r="B155" s="113"/>
      <c r="C155" s="113"/>
      <c r="D155" s="113"/>
      <c r="E155" s="113"/>
      <c r="F155" s="113"/>
      <c r="G155" s="113"/>
      <c r="H155" s="113"/>
      <c r="I155" s="113"/>
    </row>
    <row r="156" spans="2:9" s="4" customFormat="1" ht="18" customHeight="1" x14ac:dyDescent="0.2">
      <c r="B156" s="113"/>
      <c r="C156" s="113"/>
      <c r="D156" s="113"/>
      <c r="E156" s="113"/>
      <c r="F156" s="113"/>
      <c r="G156" s="113"/>
      <c r="H156" s="113"/>
      <c r="I156" s="113"/>
    </row>
    <row r="157" spans="2:9" s="4" customFormat="1" ht="18" customHeight="1" x14ac:dyDescent="0.2">
      <c r="B157" s="113"/>
      <c r="C157" s="113"/>
      <c r="D157" s="113"/>
      <c r="E157" s="113"/>
      <c r="F157" s="113"/>
      <c r="G157" s="113"/>
      <c r="H157" s="113"/>
      <c r="I157" s="113"/>
    </row>
    <row r="158" spans="2:9" s="4" customFormat="1" ht="18" customHeight="1" x14ac:dyDescent="0.2">
      <c r="B158" s="113"/>
      <c r="C158" s="113"/>
      <c r="D158" s="113"/>
      <c r="E158" s="113"/>
      <c r="F158" s="113"/>
      <c r="G158" s="113"/>
      <c r="H158" s="113"/>
      <c r="I158" s="113"/>
    </row>
    <row r="159" spans="2:9" s="4" customFormat="1" ht="18" customHeight="1" x14ac:dyDescent="0.2">
      <c r="B159" s="113"/>
      <c r="C159" s="113"/>
      <c r="D159" s="113"/>
      <c r="E159" s="113"/>
      <c r="F159" s="113"/>
      <c r="G159" s="113"/>
      <c r="H159" s="113"/>
      <c r="I159" s="113"/>
    </row>
    <row r="160" spans="2:9" s="4" customFormat="1" ht="18" customHeight="1" x14ac:dyDescent="0.2">
      <c r="B160" s="113"/>
      <c r="C160" s="113"/>
      <c r="D160" s="113"/>
      <c r="E160" s="113"/>
      <c r="F160" s="113"/>
      <c r="G160" s="113"/>
      <c r="H160" s="113"/>
      <c r="I160" s="113"/>
    </row>
    <row r="161" spans="2:9" s="4" customFormat="1" ht="18" customHeight="1" x14ac:dyDescent="0.2">
      <c r="B161" s="113"/>
      <c r="C161" s="113"/>
      <c r="D161" s="113"/>
      <c r="E161" s="113"/>
      <c r="F161" s="113"/>
      <c r="G161" s="113"/>
      <c r="H161" s="113"/>
      <c r="I161" s="113"/>
    </row>
    <row r="162" spans="2:9" s="4" customFormat="1" ht="18" customHeight="1" x14ac:dyDescent="0.2">
      <c r="B162" s="113"/>
      <c r="C162" s="113"/>
      <c r="D162" s="113"/>
      <c r="E162" s="113"/>
      <c r="F162" s="113"/>
      <c r="G162" s="113"/>
      <c r="H162" s="113"/>
      <c r="I162" s="113"/>
    </row>
    <row r="163" spans="2:9" s="4" customFormat="1" ht="18" customHeight="1" x14ac:dyDescent="0.2">
      <c r="B163" s="113"/>
      <c r="C163" s="113"/>
      <c r="D163" s="113"/>
      <c r="E163" s="113"/>
      <c r="F163" s="113"/>
      <c r="G163" s="113"/>
      <c r="H163" s="113"/>
      <c r="I163" s="113"/>
    </row>
    <row r="164" spans="2:9" s="4" customFormat="1" ht="18" customHeight="1" x14ac:dyDescent="0.2">
      <c r="B164" s="113"/>
      <c r="C164" s="113"/>
      <c r="D164" s="113"/>
      <c r="E164" s="113"/>
      <c r="F164" s="113"/>
      <c r="G164" s="113"/>
      <c r="H164" s="113"/>
      <c r="I164" s="113"/>
    </row>
    <row r="165" spans="2:9" s="4" customFormat="1" ht="18" customHeight="1" x14ac:dyDescent="0.2">
      <c r="B165" s="113"/>
      <c r="C165" s="113"/>
      <c r="D165" s="113"/>
      <c r="E165" s="113"/>
      <c r="F165" s="113"/>
      <c r="G165" s="113"/>
      <c r="H165" s="113"/>
      <c r="I165" s="113"/>
    </row>
    <row r="166" spans="2:9" s="4" customFormat="1" ht="18" customHeight="1" x14ac:dyDescent="0.2">
      <c r="B166" s="113"/>
      <c r="C166" s="113"/>
      <c r="D166" s="113"/>
      <c r="E166" s="113"/>
      <c r="F166" s="113"/>
      <c r="G166" s="113"/>
      <c r="H166" s="113"/>
      <c r="I166" s="113"/>
    </row>
    <row r="167" spans="2:9" s="4" customFormat="1" ht="18" customHeight="1" x14ac:dyDescent="0.2">
      <c r="B167" s="113"/>
      <c r="C167" s="113"/>
      <c r="D167" s="113"/>
      <c r="E167" s="113"/>
      <c r="F167" s="113"/>
      <c r="G167" s="113"/>
      <c r="H167" s="113"/>
      <c r="I167" s="113"/>
    </row>
    <row r="168" spans="2:9" s="4" customFormat="1" ht="18" customHeight="1" x14ac:dyDescent="0.2">
      <c r="B168" s="113"/>
      <c r="C168" s="113"/>
      <c r="D168" s="113"/>
      <c r="E168" s="113"/>
      <c r="F168" s="113"/>
      <c r="G168" s="113"/>
      <c r="H168" s="113"/>
      <c r="I168" s="113"/>
    </row>
    <row r="169" spans="2:9" s="4" customFormat="1" ht="18" customHeight="1" x14ac:dyDescent="0.2">
      <c r="B169" s="113"/>
      <c r="C169" s="113"/>
      <c r="D169" s="113"/>
      <c r="E169" s="113"/>
      <c r="F169" s="113"/>
      <c r="G169" s="113"/>
      <c r="H169" s="113"/>
      <c r="I169" s="113"/>
    </row>
    <row r="170" spans="2:9" s="4" customFormat="1" ht="18" customHeight="1" x14ac:dyDescent="0.2">
      <c r="B170" s="113"/>
      <c r="C170" s="113"/>
      <c r="D170" s="113"/>
      <c r="E170" s="113"/>
      <c r="F170" s="113"/>
      <c r="G170" s="113"/>
      <c r="H170" s="113"/>
      <c r="I170" s="113"/>
    </row>
    <row r="171" spans="2:9" s="4" customFormat="1" ht="18" customHeight="1" x14ac:dyDescent="0.2">
      <c r="B171" s="113"/>
      <c r="C171" s="113"/>
      <c r="D171" s="113"/>
      <c r="E171" s="113"/>
      <c r="F171" s="113"/>
      <c r="G171" s="113"/>
      <c r="H171" s="113"/>
      <c r="I171" s="113"/>
    </row>
    <row r="172" spans="2:9" s="4" customFormat="1" ht="18" customHeight="1" x14ac:dyDescent="0.2">
      <c r="B172" s="113"/>
      <c r="C172" s="113"/>
      <c r="D172" s="113"/>
      <c r="E172" s="113"/>
      <c r="F172" s="113"/>
      <c r="G172" s="113"/>
      <c r="H172" s="113"/>
      <c r="I172" s="113"/>
    </row>
    <row r="173" spans="2:9" s="4" customFormat="1" ht="18" customHeight="1" x14ac:dyDescent="0.2">
      <c r="B173" s="113"/>
      <c r="C173" s="113"/>
      <c r="D173" s="113"/>
      <c r="E173" s="113"/>
      <c r="F173" s="113"/>
      <c r="G173" s="113"/>
      <c r="H173" s="113"/>
      <c r="I173" s="113"/>
    </row>
    <row r="174" spans="2:9" s="4" customFormat="1" ht="18" customHeight="1" x14ac:dyDescent="0.2">
      <c r="B174" s="113"/>
      <c r="C174" s="113"/>
      <c r="D174" s="113"/>
      <c r="E174" s="113"/>
      <c r="F174" s="113"/>
      <c r="G174" s="113"/>
      <c r="H174" s="113"/>
      <c r="I174" s="113"/>
    </row>
    <row r="175" spans="2:9" s="4" customFormat="1" ht="18" customHeight="1" x14ac:dyDescent="0.2">
      <c r="B175" s="113"/>
      <c r="C175" s="113"/>
      <c r="D175" s="113"/>
      <c r="E175" s="113"/>
      <c r="F175" s="113"/>
      <c r="G175" s="113"/>
      <c r="H175" s="113"/>
      <c r="I175" s="113"/>
    </row>
    <row r="176" spans="2:9" s="4" customFormat="1" ht="18" customHeight="1" x14ac:dyDescent="0.2">
      <c r="B176" s="113"/>
      <c r="C176" s="113"/>
      <c r="D176" s="113"/>
      <c r="E176" s="113"/>
      <c r="F176" s="113"/>
      <c r="G176" s="113"/>
      <c r="H176" s="113"/>
      <c r="I176" s="113"/>
    </row>
    <row r="177" spans="2:9" s="4" customFormat="1" ht="18" customHeight="1" x14ac:dyDescent="0.2">
      <c r="B177" s="113"/>
      <c r="C177" s="113"/>
      <c r="D177" s="113"/>
      <c r="E177" s="113"/>
      <c r="F177" s="113"/>
      <c r="G177" s="113"/>
      <c r="H177" s="113"/>
      <c r="I177" s="113"/>
    </row>
    <row r="178" spans="2:9" s="4" customFormat="1" ht="18" customHeight="1" x14ac:dyDescent="0.2">
      <c r="B178" s="113"/>
      <c r="C178" s="113"/>
      <c r="D178" s="113"/>
      <c r="E178" s="113"/>
      <c r="F178" s="113"/>
      <c r="G178" s="113"/>
      <c r="H178" s="113"/>
      <c r="I178" s="113"/>
    </row>
    <row r="179" spans="2:9" s="4" customFormat="1" ht="18" customHeight="1" x14ac:dyDescent="0.2">
      <c r="B179" s="113"/>
      <c r="C179" s="113"/>
      <c r="D179" s="113"/>
      <c r="E179" s="113"/>
      <c r="F179" s="113"/>
      <c r="G179" s="113"/>
      <c r="H179" s="113"/>
      <c r="I179" s="113"/>
    </row>
    <row r="180" spans="2:9" s="4" customFormat="1" ht="18" customHeight="1" x14ac:dyDescent="0.2">
      <c r="B180" s="113"/>
      <c r="C180" s="113"/>
      <c r="D180" s="113"/>
      <c r="E180" s="113"/>
      <c r="F180" s="113"/>
      <c r="G180" s="113"/>
      <c r="H180" s="113"/>
      <c r="I180" s="113"/>
    </row>
    <row r="181" spans="2:9" s="4" customFormat="1" ht="18" customHeight="1" x14ac:dyDescent="0.2">
      <c r="B181" s="113"/>
      <c r="C181" s="113"/>
      <c r="D181" s="113"/>
      <c r="E181" s="113"/>
      <c r="F181" s="113"/>
      <c r="G181" s="113"/>
      <c r="H181" s="113"/>
      <c r="I181" s="113"/>
    </row>
    <row r="182" spans="2:9" s="4" customFormat="1" ht="18" customHeight="1" x14ac:dyDescent="0.2">
      <c r="B182" s="113"/>
      <c r="C182" s="113"/>
      <c r="D182" s="113"/>
      <c r="E182" s="113"/>
      <c r="F182" s="113"/>
      <c r="G182" s="113"/>
      <c r="H182" s="113"/>
      <c r="I182" s="113"/>
    </row>
    <row r="183" spans="2:9" s="4" customFormat="1" ht="18" customHeight="1" x14ac:dyDescent="0.2">
      <c r="B183" s="113"/>
      <c r="C183" s="113"/>
      <c r="D183" s="113"/>
      <c r="E183" s="113"/>
      <c r="F183" s="113"/>
      <c r="G183" s="113"/>
      <c r="H183" s="113"/>
      <c r="I183" s="113"/>
    </row>
    <row r="184" spans="2:9" s="4" customFormat="1" ht="18" customHeight="1" x14ac:dyDescent="0.2">
      <c r="B184" s="113"/>
      <c r="C184" s="113"/>
      <c r="D184" s="113"/>
      <c r="E184" s="113"/>
      <c r="F184" s="113"/>
      <c r="G184" s="113"/>
      <c r="H184" s="113"/>
      <c r="I184" s="113"/>
    </row>
    <row r="185" spans="2:9" s="4" customFormat="1" ht="18" customHeight="1" x14ac:dyDescent="0.2">
      <c r="B185" s="113"/>
      <c r="C185" s="113"/>
      <c r="D185" s="113"/>
      <c r="E185" s="113"/>
      <c r="F185" s="113"/>
      <c r="G185" s="113"/>
      <c r="H185" s="113"/>
      <c r="I185" s="113"/>
    </row>
    <row r="186" spans="2:9" s="4" customFormat="1" ht="18" customHeight="1" x14ac:dyDescent="0.2">
      <c r="B186" s="113"/>
      <c r="C186" s="113"/>
      <c r="D186" s="113"/>
      <c r="E186" s="113"/>
      <c r="F186" s="113"/>
      <c r="G186" s="113"/>
      <c r="H186" s="113"/>
      <c r="I186" s="113"/>
    </row>
    <row r="187" spans="2:9" s="4" customFormat="1" ht="18" customHeight="1" x14ac:dyDescent="0.2">
      <c r="B187" s="113"/>
      <c r="C187" s="113"/>
      <c r="D187" s="113"/>
      <c r="E187" s="113"/>
      <c r="F187" s="113"/>
      <c r="G187" s="113"/>
      <c r="H187" s="113"/>
      <c r="I187" s="113"/>
    </row>
    <row r="188" spans="2:9" s="4" customFormat="1" ht="18" customHeight="1" x14ac:dyDescent="0.2">
      <c r="B188" s="113"/>
      <c r="C188" s="113"/>
      <c r="D188" s="113"/>
      <c r="E188" s="113"/>
      <c r="F188" s="113"/>
      <c r="G188" s="113"/>
      <c r="H188" s="113"/>
      <c r="I188" s="113"/>
    </row>
    <row r="189" spans="2:9" s="4" customFormat="1" ht="18" customHeight="1" x14ac:dyDescent="0.2">
      <c r="B189" s="113"/>
      <c r="C189" s="113"/>
      <c r="D189" s="113"/>
      <c r="E189" s="113"/>
      <c r="F189" s="113"/>
      <c r="G189" s="113"/>
      <c r="H189" s="113"/>
      <c r="I189" s="113"/>
    </row>
    <row r="190" spans="2:9" s="4" customFormat="1" ht="18" customHeight="1" x14ac:dyDescent="0.2">
      <c r="B190" s="113"/>
      <c r="C190" s="113"/>
      <c r="D190" s="113"/>
      <c r="E190" s="113"/>
      <c r="F190" s="113"/>
      <c r="G190" s="113"/>
      <c r="H190" s="113"/>
      <c r="I190" s="113"/>
    </row>
    <row r="191" spans="2:9" s="4" customFormat="1" ht="18" customHeight="1" x14ac:dyDescent="0.2">
      <c r="B191" s="113"/>
      <c r="C191" s="113"/>
      <c r="D191" s="113"/>
      <c r="E191" s="113"/>
      <c r="F191" s="113"/>
      <c r="G191" s="113"/>
      <c r="H191" s="113"/>
      <c r="I191" s="113"/>
    </row>
    <row r="192" spans="2:9" s="4" customFormat="1" ht="18" customHeight="1" x14ac:dyDescent="0.2">
      <c r="B192" s="113"/>
      <c r="C192" s="113"/>
      <c r="D192" s="113"/>
      <c r="E192" s="113"/>
      <c r="F192" s="113"/>
      <c r="G192" s="113"/>
      <c r="H192" s="113"/>
      <c r="I192" s="113"/>
    </row>
    <row r="193" spans="2:9" s="4" customFormat="1" ht="18" customHeight="1" x14ac:dyDescent="0.2">
      <c r="B193" s="113"/>
      <c r="C193" s="113"/>
      <c r="D193" s="113"/>
      <c r="E193" s="113"/>
      <c r="F193" s="113"/>
      <c r="G193" s="113"/>
      <c r="H193" s="113"/>
      <c r="I193" s="113"/>
    </row>
    <row r="194" spans="2:9" s="4" customFormat="1" ht="18" customHeight="1" x14ac:dyDescent="0.2">
      <c r="B194" s="113"/>
      <c r="C194" s="113"/>
      <c r="D194" s="113"/>
      <c r="E194" s="113"/>
      <c r="F194" s="113"/>
      <c r="G194" s="113"/>
      <c r="H194" s="113"/>
      <c r="I194" s="113"/>
    </row>
    <row r="195" spans="2:9" s="4" customFormat="1" ht="18" customHeight="1" x14ac:dyDescent="0.2">
      <c r="B195" s="113"/>
      <c r="C195" s="113"/>
      <c r="D195" s="113"/>
      <c r="E195" s="113"/>
      <c r="F195" s="113"/>
      <c r="G195" s="113"/>
      <c r="H195" s="113"/>
      <c r="I195" s="113"/>
    </row>
    <row r="196" spans="2:9" s="4" customFormat="1" ht="18" customHeight="1" x14ac:dyDescent="0.2">
      <c r="B196" s="113"/>
      <c r="C196" s="113"/>
      <c r="D196" s="113"/>
      <c r="E196" s="113"/>
      <c r="F196" s="113"/>
      <c r="G196" s="113"/>
      <c r="H196" s="113"/>
      <c r="I196" s="113"/>
    </row>
    <row r="197" spans="2:9" s="4" customFormat="1" ht="18" customHeight="1" x14ac:dyDescent="0.2">
      <c r="B197" s="113"/>
      <c r="C197" s="113"/>
      <c r="D197" s="113"/>
      <c r="E197" s="113"/>
      <c r="F197" s="113"/>
      <c r="G197" s="113"/>
      <c r="H197" s="113"/>
      <c r="I197" s="113"/>
    </row>
    <row r="198" spans="2:9" s="4" customFormat="1" ht="18" customHeight="1" x14ac:dyDescent="0.2">
      <c r="B198" s="113"/>
      <c r="C198" s="113"/>
      <c r="D198" s="113"/>
      <c r="E198" s="113"/>
      <c r="F198" s="113"/>
      <c r="G198" s="113"/>
      <c r="H198" s="113"/>
      <c r="I198" s="113"/>
    </row>
    <row r="199" spans="2:9" s="4" customFormat="1" ht="18" customHeight="1" x14ac:dyDescent="0.2">
      <c r="B199" s="113"/>
      <c r="C199" s="113"/>
      <c r="D199" s="113"/>
      <c r="E199" s="113"/>
      <c r="F199" s="113"/>
      <c r="G199" s="113"/>
      <c r="H199" s="113"/>
      <c r="I199" s="113"/>
    </row>
    <row r="200" spans="2:9" s="4" customFormat="1" ht="18" customHeight="1" x14ac:dyDescent="0.2">
      <c r="B200" s="113"/>
      <c r="C200" s="113"/>
      <c r="D200" s="113"/>
      <c r="E200" s="113"/>
      <c r="F200" s="113"/>
      <c r="G200" s="113"/>
      <c r="H200" s="113"/>
      <c r="I200" s="113"/>
    </row>
    <row r="201" spans="2:9" s="4" customFormat="1" ht="18" customHeight="1" x14ac:dyDescent="0.2">
      <c r="B201" s="113"/>
      <c r="C201" s="113"/>
      <c r="D201" s="113"/>
      <c r="E201" s="113"/>
      <c r="F201" s="113"/>
      <c r="G201" s="113"/>
      <c r="H201" s="113"/>
      <c r="I201" s="113"/>
    </row>
    <row r="202" spans="2:9" s="4" customFormat="1" ht="18" customHeight="1" x14ac:dyDescent="0.2">
      <c r="B202" s="113"/>
      <c r="C202" s="113"/>
      <c r="D202" s="113"/>
      <c r="E202" s="113"/>
      <c r="F202" s="113"/>
      <c r="G202" s="113"/>
      <c r="H202" s="113"/>
      <c r="I202" s="113"/>
    </row>
    <row r="203" spans="2:9" s="4" customFormat="1" ht="18" customHeight="1" x14ac:dyDescent="0.2">
      <c r="B203" s="113"/>
      <c r="C203" s="113"/>
      <c r="D203" s="113"/>
      <c r="E203" s="113"/>
      <c r="F203" s="113"/>
      <c r="G203" s="113"/>
      <c r="H203" s="113"/>
      <c r="I203" s="113"/>
    </row>
    <row r="204" spans="2:9" s="4" customFormat="1" ht="18" customHeight="1" x14ac:dyDescent="0.2">
      <c r="B204" s="113"/>
      <c r="C204" s="113"/>
      <c r="D204" s="113"/>
      <c r="E204" s="113"/>
      <c r="F204" s="113"/>
      <c r="G204" s="113"/>
      <c r="H204" s="113"/>
      <c r="I204" s="113"/>
    </row>
    <row r="205" spans="2:9" s="4" customFormat="1" ht="18" customHeight="1" x14ac:dyDescent="0.2">
      <c r="B205" s="113"/>
      <c r="C205" s="113"/>
      <c r="D205" s="113"/>
      <c r="E205" s="113"/>
      <c r="F205" s="113"/>
      <c r="G205" s="113"/>
      <c r="H205" s="113"/>
      <c r="I205" s="113"/>
    </row>
    <row r="206" spans="2:9" s="4" customFormat="1" ht="18" customHeight="1" x14ac:dyDescent="0.2">
      <c r="B206" s="113"/>
      <c r="C206" s="113"/>
      <c r="D206" s="113"/>
      <c r="E206" s="113"/>
      <c r="F206" s="113"/>
      <c r="G206" s="113"/>
      <c r="H206" s="113"/>
      <c r="I206" s="113"/>
    </row>
    <row r="207" spans="2:9" s="4" customFormat="1" ht="18" customHeight="1" x14ac:dyDescent="0.2">
      <c r="B207" s="113"/>
      <c r="C207" s="113"/>
      <c r="D207" s="113"/>
      <c r="E207" s="113"/>
      <c r="F207" s="113"/>
      <c r="G207" s="113"/>
      <c r="H207" s="113"/>
      <c r="I207" s="113"/>
    </row>
    <row r="208" spans="2:9" s="4" customFormat="1" ht="18" customHeight="1" x14ac:dyDescent="0.2">
      <c r="B208" s="113"/>
      <c r="C208" s="113"/>
      <c r="D208" s="113"/>
      <c r="E208" s="113"/>
      <c r="F208" s="113"/>
      <c r="G208" s="113"/>
      <c r="H208" s="113"/>
      <c r="I208" s="113"/>
    </row>
    <row r="209" spans="2:9" s="4" customFormat="1" ht="18" customHeight="1" x14ac:dyDescent="0.2">
      <c r="B209" s="113"/>
      <c r="C209" s="113"/>
      <c r="D209" s="113"/>
      <c r="E209" s="113"/>
      <c r="F209" s="113"/>
      <c r="G209" s="113"/>
      <c r="H209" s="113"/>
      <c r="I209" s="113"/>
    </row>
    <row r="210" spans="2:9" s="4" customFormat="1" ht="18" customHeight="1" x14ac:dyDescent="0.2">
      <c r="B210" s="113"/>
      <c r="C210" s="113"/>
      <c r="D210" s="113"/>
      <c r="E210" s="113"/>
      <c r="F210" s="113"/>
      <c r="G210" s="113"/>
      <c r="H210" s="113"/>
      <c r="I210" s="113"/>
    </row>
    <row r="211" spans="2:9" s="4" customFormat="1" ht="18" customHeight="1" x14ac:dyDescent="0.2">
      <c r="B211" s="113"/>
      <c r="C211" s="113"/>
      <c r="D211" s="113"/>
      <c r="E211" s="113"/>
      <c r="F211" s="113"/>
      <c r="G211" s="113"/>
      <c r="H211" s="113"/>
      <c r="I211" s="113"/>
    </row>
    <row r="212" spans="2:9" s="4" customFormat="1" ht="18" customHeight="1" x14ac:dyDescent="0.2">
      <c r="B212" s="113"/>
      <c r="C212" s="113"/>
      <c r="D212" s="113"/>
      <c r="E212" s="113"/>
      <c r="F212" s="113"/>
      <c r="G212" s="113"/>
      <c r="H212" s="113"/>
      <c r="I212" s="113"/>
    </row>
    <row r="213" spans="2:9" s="4" customFormat="1" ht="18" customHeight="1" x14ac:dyDescent="0.2">
      <c r="B213" s="113"/>
      <c r="C213" s="113"/>
      <c r="D213" s="113"/>
      <c r="E213" s="113"/>
      <c r="F213" s="113"/>
      <c r="G213" s="113"/>
      <c r="H213" s="113"/>
      <c r="I213" s="113"/>
    </row>
    <row r="214" spans="2:9" s="4" customFormat="1" ht="18" customHeight="1" x14ac:dyDescent="0.2">
      <c r="B214" s="113"/>
      <c r="C214" s="113"/>
      <c r="D214" s="113"/>
      <c r="E214" s="113"/>
      <c r="F214" s="113"/>
      <c r="G214" s="113"/>
      <c r="H214" s="113"/>
      <c r="I214" s="113"/>
    </row>
    <row r="215" spans="2:9" s="4" customFormat="1" ht="18" customHeight="1" x14ac:dyDescent="0.2">
      <c r="B215" s="113"/>
      <c r="C215" s="113"/>
      <c r="D215" s="113"/>
      <c r="E215" s="113"/>
      <c r="F215" s="113"/>
      <c r="G215" s="113"/>
      <c r="H215" s="113"/>
      <c r="I215" s="113"/>
    </row>
    <row r="216" spans="2:9" s="4" customFormat="1" ht="18" customHeight="1" x14ac:dyDescent="0.2">
      <c r="B216" s="113"/>
      <c r="C216" s="113"/>
      <c r="D216" s="113"/>
      <c r="E216" s="113"/>
      <c r="F216" s="113"/>
      <c r="G216" s="113"/>
      <c r="H216" s="113"/>
      <c r="I216" s="113"/>
    </row>
    <row r="217" spans="2:9" s="4" customFormat="1" ht="18" customHeight="1" x14ac:dyDescent="0.2">
      <c r="B217" s="113"/>
      <c r="C217" s="113"/>
      <c r="D217" s="113"/>
      <c r="E217" s="113"/>
      <c r="F217" s="113"/>
      <c r="G217" s="113"/>
      <c r="H217" s="113"/>
      <c r="I217" s="113"/>
    </row>
    <row r="218" spans="2:9" s="4" customFormat="1" ht="18" customHeight="1" x14ac:dyDescent="0.2">
      <c r="B218" s="113"/>
      <c r="C218" s="113"/>
      <c r="D218" s="113"/>
      <c r="E218" s="113"/>
      <c r="F218" s="113"/>
      <c r="G218" s="113"/>
      <c r="H218" s="113"/>
      <c r="I218" s="113"/>
    </row>
    <row r="219" spans="2:9" s="4" customFormat="1" ht="18" customHeight="1" x14ac:dyDescent="0.2">
      <c r="B219" s="113"/>
      <c r="C219" s="113"/>
      <c r="D219" s="113"/>
      <c r="E219" s="113"/>
      <c r="F219" s="113"/>
      <c r="G219" s="113"/>
      <c r="H219" s="113"/>
      <c r="I219" s="113"/>
    </row>
    <row r="220" spans="2:9" s="4" customFormat="1" ht="18" customHeight="1" x14ac:dyDescent="0.2">
      <c r="B220" s="113"/>
      <c r="C220" s="113"/>
      <c r="D220" s="113"/>
      <c r="E220" s="113"/>
      <c r="F220" s="113"/>
      <c r="G220" s="113"/>
      <c r="H220" s="113"/>
      <c r="I220" s="113"/>
    </row>
    <row r="221" spans="2:9" s="4" customFormat="1" ht="18" customHeight="1" x14ac:dyDescent="0.2">
      <c r="B221" s="113"/>
      <c r="C221" s="113"/>
      <c r="D221" s="113"/>
      <c r="E221" s="113"/>
      <c r="F221" s="113"/>
      <c r="G221" s="113"/>
      <c r="H221" s="113"/>
      <c r="I221" s="113"/>
    </row>
    <row r="222" spans="2:9" s="4" customFormat="1" ht="18" customHeight="1" x14ac:dyDescent="0.2">
      <c r="B222" s="113"/>
      <c r="C222" s="113"/>
      <c r="D222" s="113"/>
      <c r="E222" s="113"/>
      <c r="F222" s="113"/>
      <c r="G222" s="113"/>
      <c r="H222" s="113"/>
      <c r="I222" s="113"/>
    </row>
    <row r="223" spans="2:9" s="4" customFormat="1" ht="18" customHeight="1" x14ac:dyDescent="0.2">
      <c r="B223" s="113"/>
      <c r="C223" s="113"/>
      <c r="D223" s="113"/>
      <c r="E223" s="113"/>
      <c r="F223" s="113"/>
      <c r="G223" s="113"/>
      <c r="H223" s="113"/>
      <c r="I223" s="113"/>
    </row>
    <row r="224" spans="2:9" s="4" customFormat="1" ht="18" customHeight="1" x14ac:dyDescent="0.2">
      <c r="B224" s="113"/>
      <c r="C224" s="113"/>
      <c r="D224" s="113"/>
      <c r="E224" s="113"/>
      <c r="F224" s="113"/>
      <c r="G224" s="113"/>
      <c r="H224" s="113"/>
      <c r="I224" s="113"/>
    </row>
    <row r="225" spans="2:9" s="4" customFormat="1" ht="18" customHeight="1" x14ac:dyDescent="0.2">
      <c r="B225" s="113"/>
      <c r="C225" s="113"/>
      <c r="D225" s="113"/>
      <c r="E225" s="113"/>
      <c r="F225" s="113"/>
      <c r="G225" s="113"/>
      <c r="H225" s="113"/>
      <c r="I225" s="113"/>
    </row>
    <row r="226" spans="2:9" s="4" customFormat="1" ht="18" customHeight="1" x14ac:dyDescent="0.2">
      <c r="B226" s="113"/>
      <c r="C226" s="113"/>
      <c r="D226" s="113"/>
      <c r="E226" s="113"/>
      <c r="F226" s="113"/>
      <c r="G226" s="113"/>
      <c r="H226" s="113"/>
      <c r="I226" s="113"/>
    </row>
    <row r="227" spans="2:9" s="4" customFormat="1" ht="18" customHeight="1" x14ac:dyDescent="0.2">
      <c r="B227" s="113"/>
      <c r="C227" s="113"/>
      <c r="D227" s="113"/>
      <c r="E227" s="113"/>
      <c r="F227" s="113"/>
      <c r="G227" s="113"/>
      <c r="H227" s="113"/>
      <c r="I227" s="113"/>
    </row>
    <row r="228" spans="2:9" s="4" customFormat="1" ht="18" customHeight="1" x14ac:dyDescent="0.2">
      <c r="B228" s="113"/>
      <c r="C228" s="113"/>
      <c r="D228" s="113"/>
      <c r="E228" s="113"/>
      <c r="F228" s="113"/>
      <c r="G228" s="113"/>
      <c r="H228" s="113"/>
      <c r="I228" s="113"/>
    </row>
  </sheetData>
  <mergeCells count="4">
    <mergeCell ref="A1:XFD1"/>
    <mergeCell ref="D15:H15"/>
    <mergeCell ref="B15:B16"/>
    <mergeCell ref="C15:C16"/>
  </mergeCells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showRowColHeaders="0" zoomScaleNormal="100" workbookViewId="0">
      <pane ySplit="1" topLeftCell="A2" activePane="bottomLeft" state="frozen"/>
      <selection pane="bottomLeft" activeCell="B4" sqref="B4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3" width="11.42578125" style="1" customWidth="1"/>
    <col min="4" max="16384" width="11.42578125" style="1"/>
  </cols>
  <sheetData>
    <row r="1" spans="1:7" s="188" customFormat="1" ht="52.5" customHeight="1" thickBot="1" x14ac:dyDescent="0.25">
      <c r="A1" s="188" t="s">
        <v>222</v>
      </c>
    </row>
    <row r="2" spans="1:7" ht="18" customHeight="1" thickTop="1" x14ac:dyDescent="0.2"/>
    <row r="3" spans="1:7" ht="22.5" customHeight="1" x14ac:dyDescent="0.2">
      <c r="B3" s="3" t="s">
        <v>183</v>
      </c>
    </row>
    <row r="4" spans="1:7" s="4" customFormat="1" ht="18" customHeight="1" x14ac:dyDescent="0.2"/>
    <row r="5" spans="1:7" s="4" customFormat="1" ht="18" customHeight="1" x14ac:dyDescent="0.2">
      <c r="B5" s="214" t="s">
        <v>93</v>
      </c>
      <c r="C5" s="214"/>
      <c r="E5" s="211" t="s">
        <v>104</v>
      </c>
      <c r="F5" s="211"/>
      <c r="G5" s="211"/>
    </row>
    <row r="6" spans="1:7" s="4" customFormat="1" ht="18" customHeight="1" x14ac:dyDescent="0.2">
      <c r="B6" s="19" t="s">
        <v>94</v>
      </c>
      <c r="C6" s="34">
        <v>30</v>
      </c>
      <c r="E6" s="191" t="s">
        <v>105</v>
      </c>
      <c r="F6" s="191"/>
      <c r="G6" s="34">
        <v>22</v>
      </c>
    </row>
    <row r="7" spans="1:7" s="4" customFormat="1" ht="18" customHeight="1" x14ac:dyDescent="0.2">
      <c r="B7" s="20" t="s">
        <v>95</v>
      </c>
      <c r="C7" s="35">
        <v>33</v>
      </c>
      <c r="D7" s="4" t="s">
        <v>0</v>
      </c>
    </row>
    <row r="8" spans="1:7" s="4" customFormat="1" ht="18" customHeight="1" x14ac:dyDescent="0.2">
      <c r="E8" s="212" t="s">
        <v>117</v>
      </c>
      <c r="F8" s="212"/>
      <c r="G8" s="212"/>
    </row>
    <row r="9" spans="1:7" s="4" customFormat="1" ht="18" customHeight="1" x14ac:dyDescent="0.2">
      <c r="B9" s="214" t="s">
        <v>98</v>
      </c>
      <c r="C9" s="214"/>
      <c r="E9" s="191" t="s">
        <v>118</v>
      </c>
      <c r="F9" s="191"/>
      <c r="G9" s="191"/>
    </row>
    <row r="10" spans="1:7" s="4" customFormat="1" ht="18" customHeight="1" x14ac:dyDescent="0.2">
      <c r="B10" s="213" t="s">
        <v>100</v>
      </c>
      <c r="C10" s="213"/>
      <c r="D10" s="125"/>
      <c r="E10" s="192" t="s">
        <v>119</v>
      </c>
      <c r="F10" s="192"/>
      <c r="G10" s="22">
        <v>0.05</v>
      </c>
    </row>
    <row r="11" spans="1:7" s="4" customFormat="1" ht="18" customHeight="1" x14ac:dyDescent="0.2">
      <c r="E11" s="191" t="s">
        <v>120</v>
      </c>
      <c r="F11" s="191"/>
      <c r="G11" s="23">
        <v>0.04</v>
      </c>
    </row>
    <row r="12" spans="1:7" s="4" customFormat="1" ht="18" customHeight="1" x14ac:dyDescent="0.2"/>
    <row r="13" spans="1:7" s="4" customFormat="1" ht="18" customHeight="1" x14ac:dyDescent="0.2"/>
    <row r="14" spans="1:7" s="4" customFormat="1" ht="18" customHeight="1" x14ac:dyDescent="0.2">
      <c r="C14" s="194" t="s">
        <v>8</v>
      </c>
      <c r="D14" s="194"/>
      <c r="E14" s="194"/>
      <c r="F14" s="194"/>
    </row>
    <row r="15" spans="1:7" s="4" customFormat="1" ht="18" customHeight="1" x14ac:dyDescent="0.2">
      <c r="C15" s="70" t="s">
        <v>268</v>
      </c>
      <c r="D15" s="70" t="s">
        <v>267</v>
      </c>
      <c r="E15" s="70" t="s">
        <v>266</v>
      </c>
      <c r="F15" s="70" t="s">
        <v>265</v>
      </c>
    </row>
    <row r="16" spans="1:7" s="4" customFormat="1" ht="18" customHeight="1" x14ac:dyDescent="0.2"/>
    <row r="17" spans="2:6" s="4" customFormat="1" ht="18" customHeight="1" x14ac:dyDescent="0.2">
      <c r="B17" s="122" t="s">
        <v>326</v>
      </c>
      <c r="C17" s="166">
        <v>228500</v>
      </c>
      <c r="D17" s="166">
        <f>C20</f>
        <v>131317.84826041036</v>
      </c>
      <c r="E17" s="166">
        <f>D20</f>
        <v>132631.02674301446</v>
      </c>
      <c r="F17" s="166">
        <f>E20</f>
        <v>133957.33701044461</v>
      </c>
    </row>
    <row r="18" spans="2:6" s="4" customFormat="1" ht="18" customHeight="1" x14ac:dyDescent="0.2">
      <c r="B18" s="20" t="s">
        <v>96</v>
      </c>
      <c r="C18" s="167">
        <f>Faturamento!F40</f>
        <v>358139.58616475551</v>
      </c>
      <c r="D18" s="167">
        <f>Faturamento!G40</f>
        <v>361720.98202640307</v>
      </c>
      <c r="E18" s="167">
        <f>Faturamento!H40</f>
        <v>365338.19184666709</v>
      </c>
      <c r="F18" s="167">
        <f>Faturamento!I40</f>
        <v>368991.5737651338</v>
      </c>
    </row>
    <row r="19" spans="2:6" s="4" customFormat="1" ht="18" customHeight="1" x14ac:dyDescent="0.2">
      <c r="B19" s="19" t="s">
        <v>97</v>
      </c>
      <c r="C19" s="148">
        <f>C17+C18-C20</f>
        <v>455321.73790434515</v>
      </c>
      <c r="D19" s="148">
        <f>D17+D18-D20</f>
        <v>360407.80354379897</v>
      </c>
      <c r="E19" s="148">
        <f>E17+E18-E20</f>
        <v>364011.88157923694</v>
      </c>
      <c r="F19" s="148">
        <f>F17+F18-F20</f>
        <v>367652.00039502932</v>
      </c>
    </row>
    <row r="20" spans="2:6" s="4" customFormat="1" ht="18" customHeight="1" x14ac:dyDescent="0.2">
      <c r="B20" s="20" t="s">
        <v>192</v>
      </c>
      <c r="C20" s="167">
        <f>(C18/90)*$C$7</f>
        <v>131317.84826041036</v>
      </c>
      <c r="D20" s="167">
        <f>(D18/90)*$C$7</f>
        <v>132631.02674301446</v>
      </c>
      <c r="E20" s="167">
        <f>(E18/90)*$C$7</f>
        <v>133957.33701044461</v>
      </c>
      <c r="F20" s="167">
        <f>(F18/90)*$C$7</f>
        <v>135296.91038054906</v>
      </c>
    </row>
    <row r="21" spans="2:6" s="4" customFormat="1" ht="18" customHeight="1" x14ac:dyDescent="0.2">
      <c r="B21" s="124" t="s">
        <v>327</v>
      </c>
      <c r="C21" s="72"/>
      <c r="D21" s="72"/>
      <c r="E21" s="72"/>
      <c r="F21" s="72"/>
    </row>
    <row r="22" spans="2:6" s="4" customFormat="1" ht="18" customHeight="1" x14ac:dyDescent="0.2">
      <c r="C22" s="90"/>
    </row>
    <row r="23" spans="2:6" s="4" customFormat="1" ht="18" customHeight="1" x14ac:dyDescent="0.2">
      <c r="B23" s="71" t="s">
        <v>98</v>
      </c>
      <c r="C23" s="4" t="s">
        <v>0</v>
      </c>
    </row>
    <row r="24" spans="2:6" s="4" customFormat="1" ht="18" customHeight="1" x14ac:dyDescent="0.2"/>
    <row r="25" spans="2:6" s="4" customFormat="1" ht="18" customHeight="1" x14ac:dyDescent="0.2">
      <c r="B25" s="122" t="s">
        <v>326</v>
      </c>
      <c r="C25" s="166">
        <v>94790</v>
      </c>
      <c r="D25" s="166">
        <f>C32</f>
        <v>91705.728286182828</v>
      </c>
      <c r="E25" s="166">
        <f>D32</f>
        <v>92212.632474922924</v>
      </c>
      <c r="F25" s="166">
        <f>E32</f>
        <v>92212.632474922895</v>
      </c>
    </row>
    <row r="26" spans="2:6" s="4" customFormat="1" ht="18" customHeight="1" x14ac:dyDescent="0.2">
      <c r="B26" s="20" t="s">
        <v>101</v>
      </c>
      <c r="C26" s="167">
        <f>C27+C28</f>
        <v>173361.50320028604</v>
      </c>
      <c r="D26" s="167">
        <f>D27+D28</f>
        <v>176574.39566896146</v>
      </c>
      <c r="E26" s="167">
        <f>E27+E28</f>
        <v>177805.42570320822</v>
      </c>
      <c r="F26" s="167">
        <f>F27+F28</f>
        <v>178753.09928259172</v>
      </c>
    </row>
    <row r="27" spans="2:6" s="4" customFormat="1" ht="18" customHeight="1" x14ac:dyDescent="0.2">
      <c r="B27" s="19" t="s">
        <v>102</v>
      </c>
      <c r="C27" s="166">
        <f>'Matéria-prima'!D57</f>
        <v>85561.786248461023</v>
      </c>
      <c r="D27" s="166">
        <f>'Matéria-prima'!E57</f>
        <v>87827.756307126299</v>
      </c>
      <c r="E27" s="166">
        <f>'Matéria-prima'!F57</f>
        <v>88194.060639570118</v>
      </c>
      <c r="F27" s="166">
        <f>'Matéria-prima'!G57</f>
        <v>89076.001245965817</v>
      </c>
    </row>
    <row r="28" spans="2:6" s="4" customFormat="1" ht="18" customHeight="1" x14ac:dyDescent="0.2">
      <c r="B28" s="20" t="s">
        <v>331</v>
      </c>
      <c r="C28" s="167">
        <f>'Gastos operacionais'!D39+'Gastos operacionais'!D46+'Gastos operacionais'!D53+'Gastos operacionais'!D60</f>
        <v>87799.716951825016</v>
      </c>
      <c r="D28" s="167">
        <f>'Gastos operacionais'!E39+'Gastos operacionais'!E46+'Gastos operacionais'!E53+'Gastos operacionais'!E60</f>
        <v>88746.639361835158</v>
      </c>
      <c r="E28" s="167">
        <f>'Gastos operacionais'!F39+'Gastos operacionais'!F46+'Gastos operacionais'!F53+'Gastos operacionais'!F60</f>
        <v>89611.365063638106</v>
      </c>
      <c r="F28" s="167">
        <f>'Gastos operacionais'!G39+'Gastos operacionais'!G46+'Gastos operacionais'!G53+'Gastos operacionais'!G60</f>
        <v>89677.098036625917</v>
      </c>
    </row>
    <row r="29" spans="2:6" s="4" customFormat="1" ht="18" customHeight="1" x14ac:dyDescent="0.2">
      <c r="B29" s="19"/>
      <c r="C29" s="166"/>
      <c r="D29" s="166"/>
      <c r="E29" s="166"/>
      <c r="F29" s="166"/>
    </row>
    <row r="30" spans="2:6" s="4" customFormat="1" ht="18" customHeight="1" x14ac:dyDescent="0.2">
      <c r="B30" s="20" t="s">
        <v>332</v>
      </c>
      <c r="C30" s="167">
        <f>'Custo do produto'!E29*'Plano de vendas'!E34</f>
        <v>176445.77491410324</v>
      </c>
      <c r="D30" s="167">
        <f>'Custo do produto'!F29*'Plano de vendas'!F34</f>
        <v>176067.49148022139</v>
      </c>
      <c r="E30" s="167">
        <f>'Custo do produto'!G29*'Plano de vendas'!G34</f>
        <v>177805.42570320822</v>
      </c>
      <c r="F30" s="167">
        <f>'Custo do produto'!H29*'Plano de vendas'!H34</f>
        <v>178753.09928259172</v>
      </c>
    </row>
    <row r="31" spans="2:6" s="4" customFormat="1" ht="18" customHeight="1" x14ac:dyDescent="0.2">
      <c r="B31" s="19"/>
      <c r="C31" s="148"/>
      <c r="D31" s="148"/>
      <c r="E31" s="148"/>
      <c r="F31" s="148"/>
    </row>
    <row r="32" spans="2:6" s="4" customFormat="1" ht="18" customHeight="1" x14ac:dyDescent="0.2">
      <c r="B32" s="20" t="s">
        <v>32</v>
      </c>
      <c r="C32" s="149">
        <f>C25+C26-C30</f>
        <v>91705.728286182828</v>
      </c>
      <c r="D32" s="149">
        <f>D25+D26-D30</f>
        <v>92212.632474922924</v>
      </c>
      <c r="E32" s="149">
        <f>E25+E26-E30</f>
        <v>92212.632474922895</v>
      </c>
      <c r="F32" s="149">
        <f>F25+F26-F30</f>
        <v>92212.632474922924</v>
      </c>
    </row>
    <row r="33" spans="2:8" s="4" customFormat="1" ht="18" customHeight="1" x14ac:dyDescent="0.2">
      <c r="B33" s="19"/>
      <c r="C33" s="34"/>
      <c r="D33" s="34"/>
      <c r="E33" s="34"/>
      <c r="F33" s="34"/>
    </row>
    <row r="34" spans="2:8" s="4" customFormat="1" ht="18" customHeight="1" x14ac:dyDescent="0.2">
      <c r="B34" s="20" t="s">
        <v>103</v>
      </c>
      <c r="C34" s="69">
        <f>(C32/C30)*90</f>
        <v>46.776498614230938</v>
      </c>
      <c r="D34" s="69">
        <f>(D32/D30)*90</f>
        <v>47.136111572733746</v>
      </c>
      <c r="E34" s="69">
        <f>(E32/E30)*90</f>
        <v>46.675386253937667</v>
      </c>
      <c r="F34" s="69">
        <f>(F32/F30)*90</f>
        <v>46.427933031935368</v>
      </c>
    </row>
    <row r="35" spans="2:8" s="4" customFormat="1" ht="18" customHeight="1" x14ac:dyDescent="0.2">
      <c r="B35" s="72" t="s">
        <v>328</v>
      </c>
      <c r="C35" s="72"/>
      <c r="D35" s="72"/>
    </row>
    <row r="36" spans="2:8" s="4" customFormat="1" ht="18" customHeight="1" x14ac:dyDescent="0.2"/>
    <row r="37" spans="2:8" s="4" customFormat="1" ht="18" customHeight="1" x14ac:dyDescent="0.2">
      <c r="B37" s="71" t="s">
        <v>104</v>
      </c>
      <c r="C37" s="5" t="s">
        <v>0</v>
      </c>
    </row>
    <row r="38" spans="2:8" s="4" customFormat="1" ht="18" customHeight="1" x14ac:dyDescent="0.2">
      <c r="B38" s="41"/>
      <c r="C38" s="5"/>
    </row>
    <row r="39" spans="2:8" s="4" customFormat="1" ht="18" customHeight="1" x14ac:dyDescent="0.2">
      <c r="B39" s="122" t="s">
        <v>326</v>
      </c>
      <c r="C39" s="166">
        <v>90000</v>
      </c>
      <c r="D39" s="166">
        <f>C44</f>
        <v>58049.869103213372</v>
      </c>
      <c r="E39" s="166">
        <f>D44</f>
        <v>56803.209242522105</v>
      </c>
      <c r="F39" s="166">
        <f>E44</f>
        <v>55980.37194362811</v>
      </c>
    </row>
    <row r="40" spans="2:8" s="4" customFormat="1" ht="18" customHeight="1" x14ac:dyDescent="0.2">
      <c r="B40" s="20" t="s">
        <v>106</v>
      </c>
      <c r="C40" s="167">
        <f>C41+C42</f>
        <v>237476.73724041833</v>
      </c>
      <c r="D40" s="167">
        <f>D41+D42</f>
        <v>232376.765083045</v>
      </c>
      <c r="E40" s="167">
        <f>E41+E42</f>
        <v>229010.61249666044</v>
      </c>
      <c r="F40" s="167">
        <f>F41+F42</f>
        <v>230318.30197539687</v>
      </c>
    </row>
    <row r="41" spans="2:8" s="4" customFormat="1" ht="18" customHeight="1" x14ac:dyDescent="0.2">
      <c r="B41" s="19" t="s">
        <v>107</v>
      </c>
      <c r="C41" s="166">
        <f>'Matéria-prima'!D58</f>
        <v>104343.64176641589</v>
      </c>
      <c r="D41" s="166">
        <f>'Matéria-prima'!E58</f>
        <v>107107.01988673938</v>
      </c>
      <c r="E41" s="166">
        <f>'Matéria-prima'!F58</f>
        <v>107553.73248728062</v>
      </c>
      <c r="F41" s="166">
        <f>'Matéria-prima'!G58</f>
        <v>108629.26981215342</v>
      </c>
    </row>
    <row r="42" spans="2:8" s="4" customFormat="1" ht="18" customHeight="1" x14ac:dyDescent="0.2">
      <c r="B42" s="20" t="s">
        <v>329</v>
      </c>
      <c r="C42" s="167">
        <f>'Gastos operacionais'!D88-'Gastos operacionais'!D87+Investimento!D21+Investimento!D22+Faturamento!F44</f>
        <v>133133.09547400245</v>
      </c>
      <c r="D42" s="167">
        <f>'Gastos operacionais'!E88-'Gastos operacionais'!E87+Investimento!E21+Investimento!E22+Faturamento!G44</f>
        <v>125269.74519630562</v>
      </c>
      <c r="E42" s="167">
        <f>'Gastos operacionais'!F88-'Gastos operacionais'!F87+Investimento!F21+Investimento!F22+Faturamento!H44</f>
        <v>121456.88000937982</v>
      </c>
      <c r="F42" s="167">
        <f>'Gastos operacionais'!G88-'Gastos operacionais'!G87+Investimento!G21+Investimento!G22+Faturamento!I44</f>
        <v>121689.03216324345</v>
      </c>
      <c r="H42" s="7">
        <f>'Gastos operacionais'!J88-'Gastos operacionais'!J87+Investimento!J21+Investimento!J22</f>
        <v>0</v>
      </c>
    </row>
    <row r="43" spans="2:8" s="4" customFormat="1" ht="18" customHeight="1" x14ac:dyDescent="0.2">
      <c r="B43" s="19" t="s">
        <v>108</v>
      </c>
      <c r="C43" s="166">
        <f>C39+C40-C44</f>
        <v>269426.86813720496</v>
      </c>
      <c r="D43" s="166">
        <f>D39+D40-D44</f>
        <v>233623.42494373626</v>
      </c>
      <c r="E43" s="166">
        <f>E39+E40-E44</f>
        <v>229833.44979555445</v>
      </c>
      <c r="F43" s="166">
        <f>F39+F40-F44</f>
        <v>229998.6445472613</v>
      </c>
    </row>
    <row r="44" spans="2:8" s="4" customFormat="1" ht="18" customHeight="1" x14ac:dyDescent="0.2">
      <c r="B44" s="20" t="s">
        <v>200</v>
      </c>
      <c r="C44" s="167">
        <f>(C40/90)*$G$6</f>
        <v>58049.869103213372</v>
      </c>
      <c r="D44" s="167">
        <f>(D40/90)*$G$6</f>
        <v>56803.209242522105</v>
      </c>
      <c r="E44" s="167">
        <f>(E40/90)*$G$6</f>
        <v>55980.37194362811</v>
      </c>
      <c r="F44" s="167">
        <f>(F40/90)*$G$6</f>
        <v>56300.029371763681</v>
      </c>
    </row>
    <row r="45" spans="2:8" s="4" customFormat="1" ht="18" customHeight="1" x14ac:dyDescent="0.2">
      <c r="B45" s="19" t="s">
        <v>0</v>
      </c>
      <c r="C45" s="166" t="s">
        <v>0</v>
      </c>
      <c r="D45" s="166" t="s">
        <v>0</v>
      </c>
      <c r="E45" s="166" t="s">
        <v>0</v>
      </c>
      <c r="F45" s="166" t="s">
        <v>0</v>
      </c>
    </row>
    <row r="46" spans="2:8" s="4" customFormat="1" ht="18" customHeight="1" x14ac:dyDescent="0.2">
      <c r="B46" s="20" t="s">
        <v>201</v>
      </c>
      <c r="C46" s="167">
        <f>Balanço!C26+Balanço!C27</f>
        <v>44100</v>
      </c>
      <c r="D46" s="167">
        <f>Balanço!D26+Balanço!D27</f>
        <v>52224.943061681159</v>
      </c>
      <c r="E46" s="167">
        <f>Balanço!E26+Balanço!E27</f>
        <v>54215.791543700005</v>
      </c>
      <c r="F46" s="167">
        <f>Balanço!F26+Balanço!F27</f>
        <v>56005.146347939866</v>
      </c>
    </row>
    <row r="47" spans="2:8" s="4" customFormat="1" ht="18" customHeight="1" x14ac:dyDescent="0.2">
      <c r="B47" s="72" t="s">
        <v>206</v>
      </c>
      <c r="C47" s="72"/>
    </row>
    <row r="48" spans="2:8" s="4" customFormat="1" ht="18" customHeight="1" x14ac:dyDescent="0.2">
      <c r="B48" s="72" t="s">
        <v>330</v>
      </c>
      <c r="C48" s="72"/>
    </row>
    <row r="49" spans="2:6" s="4" customFormat="1" ht="18" customHeight="1" x14ac:dyDescent="0.2">
      <c r="B49" s="72" t="s">
        <v>202</v>
      </c>
      <c r="C49" s="72"/>
    </row>
    <row r="50" spans="2:6" s="4" customFormat="1" ht="18" customHeight="1" x14ac:dyDescent="0.2">
      <c r="B50" s="72"/>
      <c r="C50" s="72"/>
    </row>
    <row r="51" spans="2:6" s="4" customFormat="1" ht="18" customHeight="1" x14ac:dyDescent="0.2">
      <c r="B51" s="71" t="s">
        <v>109</v>
      </c>
      <c r="C51" s="72"/>
    </row>
    <row r="52" spans="2:6" s="4" customFormat="1" ht="18" customHeight="1" x14ac:dyDescent="0.2"/>
    <row r="53" spans="2:6" s="4" customFormat="1" ht="18" customHeight="1" x14ac:dyDescent="0.2">
      <c r="B53" s="122" t="s">
        <v>333</v>
      </c>
      <c r="C53" s="34">
        <v>1</v>
      </c>
      <c r="D53" s="76">
        <f>C69</f>
        <v>-2.328598711756058E-4</v>
      </c>
      <c r="E53" s="76">
        <f>D69</f>
        <v>-0.18469447829556884</v>
      </c>
      <c r="F53" s="76">
        <f>E69</f>
        <v>-0.51445449577295221</v>
      </c>
    </row>
    <row r="54" spans="2:6" s="4" customFormat="1" ht="18" customHeight="1" x14ac:dyDescent="0.2">
      <c r="B54" s="20" t="s">
        <v>110</v>
      </c>
      <c r="C54" s="149">
        <f>C19</f>
        <v>455321.73790434515</v>
      </c>
      <c r="D54" s="149">
        <f>D19</f>
        <v>360407.80354379897</v>
      </c>
      <c r="E54" s="149">
        <f>E19</f>
        <v>364011.88157923694</v>
      </c>
      <c r="F54" s="149">
        <f>F19</f>
        <v>367652.00039502932</v>
      </c>
    </row>
    <row r="55" spans="2:6" s="4" customFormat="1" ht="18" customHeight="1" x14ac:dyDescent="0.2">
      <c r="B55" s="19" t="s">
        <v>162</v>
      </c>
      <c r="C55" s="148">
        <f>C43+C46</f>
        <v>313526.86813720496</v>
      </c>
      <c r="D55" s="148">
        <f>D43+D46</f>
        <v>285848.3680054174</v>
      </c>
      <c r="E55" s="148">
        <f>E43+E46</f>
        <v>284049.24133925443</v>
      </c>
      <c r="F55" s="148">
        <f>F43+F46</f>
        <v>286003.79089520115</v>
      </c>
    </row>
    <row r="56" spans="2:6" s="4" customFormat="1" ht="18" customHeight="1" x14ac:dyDescent="0.2">
      <c r="B56" s="20" t="s">
        <v>111</v>
      </c>
      <c r="C56" s="149">
        <f>C53+C54-C55</f>
        <v>141795.86976714019</v>
      </c>
      <c r="D56" s="149">
        <f>D53+D54-D55</f>
        <v>74559.435305521707</v>
      </c>
      <c r="E56" s="149">
        <f>E53+E54-E55</f>
        <v>79962.455545504228</v>
      </c>
      <c r="F56" s="149">
        <f>F53+F54-F55</f>
        <v>81647.695045332424</v>
      </c>
    </row>
    <row r="57" spans="2:6" s="4" customFormat="1" ht="18" customHeight="1" x14ac:dyDescent="0.2">
      <c r="B57" s="19"/>
      <c r="C57" s="166"/>
      <c r="D57" s="166"/>
      <c r="E57" s="166"/>
      <c r="F57" s="166"/>
    </row>
    <row r="58" spans="2:6" s="4" customFormat="1" ht="18" customHeight="1" x14ac:dyDescent="0.2">
      <c r="B58" s="20" t="s">
        <v>112</v>
      </c>
      <c r="C58" s="167">
        <f>C59+C60</f>
        <v>489692</v>
      </c>
      <c r="D58" s="167">
        <f>D59+D60</f>
        <v>134154</v>
      </c>
      <c r="E58" s="167">
        <f>E59+E60</f>
        <v>69661</v>
      </c>
      <c r="F58" s="167">
        <f>F59+F60</f>
        <v>0</v>
      </c>
    </row>
    <row r="59" spans="2:6" s="4" customFormat="1" ht="18" customHeight="1" x14ac:dyDescent="0.2">
      <c r="B59" s="19" t="s">
        <v>113</v>
      </c>
      <c r="C59" s="166">
        <v>299673</v>
      </c>
      <c r="D59" s="166"/>
      <c r="E59" s="166">
        <v>0</v>
      </c>
      <c r="F59" s="166">
        <v>0</v>
      </c>
    </row>
    <row r="60" spans="2:6" s="4" customFormat="1" ht="18" customHeight="1" x14ac:dyDescent="0.2">
      <c r="B60" s="20" t="s">
        <v>114</v>
      </c>
      <c r="C60" s="167">
        <v>190019</v>
      </c>
      <c r="D60" s="167">
        <v>134154</v>
      </c>
      <c r="E60" s="167">
        <v>69661</v>
      </c>
      <c r="F60" s="167">
        <v>0</v>
      </c>
    </row>
    <row r="61" spans="2:6" s="4" customFormat="1" ht="18" customHeight="1" x14ac:dyDescent="0.2">
      <c r="B61" s="19"/>
      <c r="C61" s="166"/>
      <c r="D61" s="166" t="s">
        <v>0</v>
      </c>
      <c r="E61" s="166" t="s">
        <v>0</v>
      </c>
      <c r="F61" s="166"/>
    </row>
    <row r="62" spans="2:6" s="4" customFormat="1" ht="18" customHeight="1" x14ac:dyDescent="0.2">
      <c r="B62" s="20" t="s">
        <v>115</v>
      </c>
      <c r="C62" s="167">
        <f>C63+C64</f>
        <v>610000</v>
      </c>
      <c r="D62" s="167">
        <f>D63+D64</f>
        <v>190019</v>
      </c>
      <c r="E62" s="167">
        <f>E63+E64</f>
        <v>134154</v>
      </c>
      <c r="F62" s="167">
        <f>F63+F64</f>
        <v>69661</v>
      </c>
    </row>
    <row r="63" spans="2:6" s="4" customFormat="1" ht="18" customHeight="1" x14ac:dyDescent="0.2">
      <c r="B63" s="19" t="s">
        <v>113</v>
      </c>
      <c r="C63" s="166"/>
      <c r="D63" s="166"/>
      <c r="E63" s="166"/>
      <c r="F63" s="166">
        <v>0</v>
      </c>
    </row>
    <row r="64" spans="2:6" s="4" customFormat="1" ht="18" customHeight="1" x14ac:dyDescent="0.2">
      <c r="B64" s="20" t="s">
        <v>114</v>
      </c>
      <c r="C64" s="167">
        <v>610000</v>
      </c>
      <c r="D64" s="167">
        <f>C60</f>
        <v>190019</v>
      </c>
      <c r="E64" s="167">
        <f>D60</f>
        <v>134154</v>
      </c>
      <c r="F64" s="167">
        <f>E60</f>
        <v>69661</v>
      </c>
    </row>
    <row r="65" spans="2:6" s="4" customFormat="1" ht="18" customHeight="1" x14ac:dyDescent="0.2">
      <c r="B65" s="19" t="s">
        <v>203</v>
      </c>
      <c r="C65" s="166">
        <f>C66+C67</f>
        <v>21487.870000000003</v>
      </c>
      <c r="D65" s="166">
        <f>D66+D67</f>
        <v>18694.620000000003</v>
      </c>
      <c r="E65" s="166">
        <f>E66+E67</f>
        <v>15469.970000000001</v>
      </c>
      <c r="F65" s="166">
        <f>F66+F67</f>
        <v>11986.92</v>
      </c>
    </row>
    <row r="66" spans="2:6" s="4" customFormat="1" ht="18" customHeight="1" x14ac:dyDescent="0.2">
      <c r="B66" s="20" t="s">
        <v>113</v>
      </c>
      <c r="C66" s="167">
        <f>C84*$G$11</f>
        <v>11986.92</v>
      </c>
      <c r="D66" s="167">
        <f>D84*$G$11</f>
        <v>11986.92</v>
      </c>
      <c r="E66" s="167">
        <f>E84*$G$11</f>
        <v>11986.92</v>
      </c>
      <c r="F66" s="167">
        <f>F84*$G$11</f>
        <v>11986.92</v>
      </c>
    </row>
    <row r="67" spans="2:6" s="4" customFormat="1" ht="18" customHeight="1" x14ac:dyDescent="0.2">
      <c r="B67" s="19" t="s">
        <v>114</v>
      </c>
      <c r="C67" s="166">
        <f>C60*$G$10</f>
        <v>9500.9500000000007</v>
      </c>
      <c r="D67" s="166">
        <f>D60*$G$10</f>
        <v>6707.7000000000007</v>
      </c>
      <c r="E67" s="166">
        <f>E60*$G$10</f>
        <v>3483.05</v>
      </c>
      <c r="F67" s="166">
        <f>F60*$G$10</f>
        <v>0</v>
      </c>
    </row>
    <row r="68" spans="2:6" s="4" customFormat="1" ht="18" customHeight="1" x14ac:dyDescent="0.2">
      <c r="B68" s="20"/>
      <c r="C68" s="42"/>
      <c r="D68" s="42"/>
      <c r="E68" s="42"/>
      <c r="F68" s="42"/>
    </row>
    <row r="69" spans="2:6" s="4" customFormat="1" ht="18" customHeight="1" x14ac:dyDescent="0.2">
      <c r="B69" s="19" t="s">
        <v>116</v>
      </c>
      <c r="C69" s="76">
        <f>C56+C58-C62-C65</f>
        <v>-2.328598711756058E-4</v>
      </c>
      <c r="D69" s="76">
        <f>D56+D58-D62-D65</f>
        <v>-0.18469447829556884</v>
      </c>
      <c r="E69" s="76">
        <f>E56+E58-E62-E65</f>
        <v>-0.51445449577295221</v>
      </c>
      <c r="F69" s="76">
        <f>F56+F58-F62-F65</f>
        <v>-0.22495466757573013</v>
      </c>
    </row>
    <row r="70" spans="2:6" s="4" customFormat="1" ht="18" customHeight="1" x14ac:dyDescent="0.2">
      <c r="C70" s="65"/>
      <c r="D70" s="65"/>
      <c r="E70" s="65"/>
      <c r="F70" s="65"/>
    </row>
    <row r="71" spans="2:6" s="4" customFormat="1" ht="18" customHeight="1" x14ac:dyDescent="0.2"/>
    <row r="72" spans="2:6" s="4" customFormat="1" ht="18" customHeight="1" x14ac:dyDescent="0.2">
      <c r="B72" s="71" t="s">
        <v>121</v>
      </c>
    </row>
    <row r="73" spans="2:6" s="4" customFormat="1" ht="18" customHeight="1" x14ac:dyDescent="0.2"/>
    <row r="74" spans="2:6" s="4" customFormat="1" ht="18" customHeight="1" x14ac:dyDescent="0.2">
      <c r="B74" s="123" t="s">
        <v>122</v>
      </c>
    </row>
    <row r="75" spans="2:6" s="4" customFormat="1" ht="18" customHeight="1" x14ac:dyDescent="0.2">
      <c r="B75" s="19" t="s">
        <v>340</v>
      </c>
      <c r="C75" s="148">
        <v>610000</v>
      </c>
      <c r="D75" s="148">
        <f>C78</f>
        <v>190019</v>
      </c>
      <c r="E75" s="148">
        <f>D78</f>
        <v>134154</v>
      </c>
      <c r="F75" s="148">
        <f>E78</f>
        <v>69661</v>
      </c>
    </row>
    <row r="76" spans="2:6" s="4" customFormat="1" ht="18" customHeight="1" x14ac:dyDescent="0.2">
      <c r="B76" s="20" t="s">
        <v>123</v>
      </c>
      <c r="C76" s="149">
        <f>C60</f>
        <v>190019</v>
      </c>
      <c r="D76" s="149">
        <f>D60</f>
        <v>134154</v>
      </c>
      <c r="E76" s="149">
        <f>E60</f>
        <v>69661</v>
      </c>
      <c r="F76" s="149">
        <f>F60</f>
        <v>0</v>
      </c>
    </row>
    <row r="77" spans="2:6" s="4" customFormat="1" ht="18" customHeight="1" x14ac:dyDescent="0.2">
      <c r="B77" s="19" t="s">
        <v>108</v>
      </c>
      <c r="C77" s="148">
        <f>C64</f>
        <v>610000</v>
      </c>
      <c r="D77" s="148">
        <f>D64</f>
        <v>190019</v>
      </c>
      <c r="E77" s="148">
        <f>E64</f>
        <v>134154</v>
      </c>
      <c r="F77" s="148">
        <f>F64</f>
        <v>69661</v>
      </c>
    </row>
    <row r="78" spans="2:6" s="4" customFormat="1" ht="18" customHeight="1" x14ac:dyDescent="0.2">
      <c r="B78" s="20" t="s">
        <v>32</v>
      </c>
      <c r="C78" s="149">
        <f>C75+C76-C77</f>
        <v>190019</v>
      </c>
      <c r="D78" s="149">
        <f>D75+D76-D77</f>
        <v>134154</v>
      </c>
      <c r="E78" s="149">
        <f>E75+E76-E77</f>
        <v>69661</v>
      </c>
      <c r="F78" s="149">
        <f>F75+F76-F77</f>
        <v>0</v>
      </c>
    </row>
    <row r="79" spans="2:6" s="4" customFormat="1" ht="18" customHeight="1" x14ac:dyDescent="0.2">
      <c r="C79" s="152"/>
      <c r="D79" s="152"/>
      <c r="E79" s="152"/>
      <c r="F79" s="152"/>
    </row>
    <row r="80" spans="2:6" s="4" customFormat="1" ht="18" customHeight="1" x14ac:dyDescent="0.2">
      <c r="B80" s="123" t="s">
        <v>124</v>
      </c>
      <c r="C80" s="152"/>
      <c r="D80" s="152"/>
      <c r="E80" s="152"/>
      <c r="F80" s="152"/>
    </row>
    <row r="81" spans="2:6" s="4" customFormat="1" ht="18" customHeight="1" x14ac:dyDescent="0.2">
      <c r="B81" s="20" t="s">
        <v>340</v>
      </c>
      <c r="C81" s="149">
        <v>0</v>
      </c>
      <c r="D81" s="149">
        <f>C84</f>
        <v>299673</v>
      </c>
      <c r="E81" s="149">
        <f>D84</f>
        <v>299673</v>
      </c>
      <c r="F81" s="149">
        <f>E84</f>
        <v>299673</v>
      </c>
    </row>
    <row r="82" spans="2:6" s="4" customFormat="1" ht="18" customHeight="1" x14ac:dyDescent="0.2">
      <c r="B82" s="19" t="s">
        <v>123</v>
      </c>
      <c r="C82" s="148">
        <f>C59</f>
        <v>299673</v>
      </c>
      <c r="D82" s="148">
        <f>D59</f>
        <v>0</v>
      </c>
      <c r="E82" s="148">
        <f>E59</f>
        <v>0</v>
      </c>
      <c r="F82" s="148">
        <f>F59</f>
        <v>0</v>
      </c>
    </row>
    <row r="83" spans="2:6" s="4" customFormat="1" ht="18" customHeight="1" x14ac:dyDescent="0.2">
      <c r="B83" s="20" t="s">
        <v>108</v>
      </c>
      <c r="C83" s="149"/>
      <c r="D83" s="149"/>
      <c r="E83" s="149"/>
      <c r="F83" s="149">
        <f>F63</f>
        <v>0</v>
      </c>
    </row>
    <row r="84" spans="2:6" s="4" customFormat="1" ht="18" customHeight="1" x14ac:dyDescent="0.2">
      <c r="B84" s="19" t="s">
        <v>32</v>
      </c>
      <c r="C84" s="148">
        <f>C81+C82-C83</f>
        <v>299673</v>
      </c>
      <c r="D84" s="148">
        <f>D81+D82-D83</f>
        <v>299673</v>
      </c>
      <c r="E84" s="148">
        <f>E81+E82-E83</f>
        <v>299673</v>
      </c>
      <c r="F84" s="148">
        <f>F81+F82-F83</f>
        <v>299673</v>
      </c>
    </row>
    <row r="85" spans="2:6" s="4" customFormat="1" ht="18" customHeight="1" x14ac:dyDescent="0.2">
      <c r="B85" s="72" t="s">
        <v>334</v>
      </c>
    </row>
    <row r="86" spans="2:6" s="4" customFormat="1" ht="18" customHeight="1" x14ac:dyDescent="0.2"/>
    <row r="87" spans="2:6" s="4" customFormat="1" ht="18" customHeight="1" x14ac:dyDescent="0.2">
      <c r="B87" s="128" t="s">
        <v>196</v>
      </c>
    </row>
    <row r="88" spans="2:6" s="4" customFormat="1" ht="18" customHeight="1" x14ac:dyDescent="0.2">
      <c r="B88" s="72" t="s">
        <v>335</v>
      </c>
    </row>
    <row r="89" spans="2:6" s="4" customFormat="1" ht="18" customHeight="1" x14ac:dyDescent="0.2">
      <c r="B89" s="72" t="s">
        <v>336</v>
      </c>
    </row>
    <row r="90" spans="2:6" s="4" customFormat="1" ht="18" customHeight="1" x14ac:dyDescent="0.2">
      <c r="B90" s="72" t="s">
        <v>337</v>
      </c>
    </row>
    <row r="91" spans="2:6" s="4" customFormat="1" ht="18" customHeight="1" x14ac:dyDescent="0.2">
      <c r="B91" s="72" t="s">
        <v>338</v>
      </c>
    </row>
    <row r="92" spans="2:6" s="4" customFormat="1" ht="18" customHeight="1" x14ac:dyDescent="0.2">
      <c r="B92" s="72" t="s">
        <v>339</v>
      </c>
    </row>
    <row r="93" spans="2:6" s="4" customFormat="1" ht="18" customHeight="1" x14ac:dyDescent="0.2"/>
    <row r="94" spans="2:6" s="4" customFormat="1" ht="18" customHeight="1" x14ac:dyDescent="0.2"/>
    <row r="95" spans="2:6" s="4" customFormat="1" ht="18" customHeight="1" x14ac:dyDescent="0.2"/>
    <row r="96" spans="2:6" s="4" customFormat="1" ht="18" customHeight="1" x14ac:dyDescent="0.2"/>
    <row r="97" s="4" customFormat="1" ht="18" customHeight="1" x14ac:dyDescent="0.2"/>
    <row r="98" s="4" customFormat="1" ht="18" customHeight="1" x14ac:dyDescent="0.2"/>
    <row r="99" s="4" customFormat="1" ht="18" customHeight="1" x14ac:dyDescent="0.2"/>
    <row r="100" s="4" customFormat="1" ht="18" customHeight="1" x14ac:dyDescent="0.2"/>
    <row r="101" s="4" customFormat="1" ht="18" customHeight="1" x14ac:dyDescent="0.2"/>
    <row r="102" s="4" customFormat="1" ht="18" customHeight="1" x14ac:dyDescent="0.2"/>
    <row r="103" s="4" customFormat="1" ht="18" customHeight="1" x14ac:dyDescent="0.2"/>
    <row r="104" s="146" customFormat="1" ht="30" customHeight="1" x14ac:dyDescent="0.2"/>
    <row r="105" s="4" customFormat="1" ht="18" customHeight="1" x14ac:dyDescent="0.2"/>
    <row r="106" s="4" customFormat="1" ht="18" customHeight="1" x14ac:dyDescent="0.2"/>
    <row r="107" s="4" customFormat="1" ht="18" customHeight="1" x14ac:dyDescent="0.2"/>
    <row r="108" s="4" customFormat="1" ht="18" customHeight="1" x14ac:dyDescent="0.2"/>
    <row r="109" s="4" customFormat="1" ht="18" customHeight="1" x14ac:dyDescent="0.2"/>
    <row r="110" s="4" customFormat="1" ht="18" customHeight="1" x14ac:dyDescent="0.2"/>
    <row r="111" s="4" customFormat="1" ht="18" customHeight="1" x14ac:dyDescent="0.2"/>
    <row r="112" s="4" customFormat="1" ht="18" customHeight="1" x14ac:dyDescent="0.2"/>
    <row r="113" s="4" customFormat="1" ht="18" customHeight="1" x14ac:dyDescent="0.2"/>
  </sheetData>
  <mergeCells count="11">
    <mergeCell ref="A1:XFD1"/>
    <mergeCell ref="C14:F14"/>
    <mergeCell ref="E11:F11"/>
    <mergeCell ref="E6:F6"/>
    <mergeCell ref="E5:G5"/>
    <mergeCell ref="E8:G8"/>
    <mergeCell ref="E9:G9"/>
    <mergeCell ref="E10:F10"/>
    <mergeCell ref="B10:C10"/>
    <mergeCell ref="B5:C5"/>
    <mergeCell ref="B9:C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80" verticalDpi="180" r:id="rId1"/>
  <headerFooter alignWithMargins="0">
    <oddHeader>&amp;R&amp;"Arial,Itálico"&amp;12Planejamento Empresarial e Orçamentário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ColWidth="11.42578125" defaultRowHeight="18" customHeight="1" x14ac:dyDescent="0.2"/>
  <cols>
    <col min="1" max="1" width="2.85546875" style="1" customWidth="1"/>
    <col min="2" max="2" width="32.140625" style="1" customWidth="1"/>
    <col min="3" max="3" width="7.140625" style="1" customWidth="1"/>
    <col min="4" max="4" width="11.7109375" style="1" bestFit="1" customWidth="1"/>
    <col min="5" max="8" width="11.5703125" style="1" bestFit="1" customWidth="1"/>
    <col min="9" max="16384" width="11.42578125" style="1"/>
  </cols>
  <sheetData>
    <row r="1" spans="1:8" s="188" customFormat="1" ht="52.5" customHeight="1" thickBot="1" x14ac:dyDescent="0.25">
      <c r="A1" s="188" t="s">
        <v>222</v>
      </c>
    </row>
    <row r="2" spans="1:8" ht="18" customHeight="1" thickTop="1" x14ac:dyDescent="0.2"/>
    <row r="3" spans="1:8" ht="22.5" customHeight="1" x14ac:dyDescent="0.2">
      <c r="B3" s="3" t="s">
        <v>125</v>
      </c>
    </row>
    <row r="5" spans="1:8" s="4" customFormat="1" ht="18" customHeight="1" x14ac:dyDescent="0.2"/>
    <row r="6" spans="1:8" s="4" customFormat="1" ht="18" customHeight="1" x14ac:dyDescent="0.2">
      <c r="D6" s="194" t="s">
        <v>8</v>
      </c>
      <c r="E6" s="194"/>
      <c r="F6" s="194"/>
      <c r="G6" s="194"/>
      <c r="H6" s="194"/>
    </row>
    <row r="7" spans="1:8" s="4" customFormat="1" ht="18" customHeight="1" x14ac:dyDescent="0.2">
      <c r="D7" s="70" t="s">
        <v>15</v>
      </c>
      <c r="E7" s="70" t="s">
        <v>268</v>
      </c>
      <c r="F7" s="70" t="s">
        <v>267</v>
      </c>
      <c r="G7" s="70" t="s">
        <v>266</v>
      </c>
      <c r="H7" s="70" t="s">
        <v>265</v>
      </c>
    </row>
    <row r="8" spans="1:8" s="4" customFormat="1" ht="18" customHeight="1" x14ac:dyDescent="0.2">
      <c r="B8" s="122" t="s">
        <v>126</v>
      </c>
      <c r="C8" s="34"/>
      <c r="D8" s="166">
        <f>Faturamento!E39</f>
        <v>1432699.8362590736</v>
      </c>
      <c r="E8" s="166">
        <f>Faturamento!F39</f>
        <v>352846.88292094145</v>
      </c>
      <c r="F8" s="166">
        <f>Faturamento!G39</f>
        <v>356375.35175015085</v>
      </c>
      <c r="G8" s="166">
        <f>Faturamento!H39</f>
        <v>359939.10526765237</v>
      </c>
      <c r="H8" s="166">
        <f>Faturamento!I39</f>
        <v>363538.49632032891</v>
      </c>
    </row>
    <row r="9" spans="1:8" s="4" customFormat="1" ht="18" customHeight="1" x14ac:dyDescent="0.2">
      <c r="B9" s="20" t="s">
        <v>127</v>
      </c>
      <c r="C9" s="35"/>
      <c r="D9" s="167">
        <f>Faturamento!E42</f>
        <v>249393.64224720761</v>
      </c>
      <c r="E9" s="167">
        <f>Faturamento!F42</f>
        <v>61420.939027255576</v>
      </c>
      <c r="F9" s="167">
        <f>Faturamento!G42</f>
        <v>62035.148417528129</v>
      </c>
      <c r="G9" s="167">
        <f>Faturamento!H42</f>
        <v>62655.499901703413</v>
      </c>
      <c r="H9" s="167">
        <f>Faturamento!I42</f>
        <v>63282.054900720454</v>
      </c>
    </row>
    <row r="10" spans="1:8" s="4" customFormat="1" ht="18" customHeight="1" x14ac:dyDescent="0.2">
      <c r="B10" s="19" t="s">
        <v>246</v>
      </c>
      <c r="C10" s="34"/>
      <c r="D10" s="166">
        <f>D8-D9</f>
        <v>1183306.1940118659</v>
      </c>
      <c r="E10" s="166">
        <f>E8-E9</f>
        <v>291425.94389368588</v>
      </c>
      <c r="F10" s="166">
        <f>F8-F9</f>
        <v>294340.20333262271</v>
      </c>
      <c r="G10" s="166">
        <f>G8-G9</f>
        <v>297283.60536594898</v>
      </c>
      <c r="H10" s="166">
        <f>H8-H9</f>
        <v>300256.44141960843</v>
      </c>
    </row>
    <row r="11" spans="1:8" s="4" customFormat="1" ht="18" customHeight="1" x14ac:dyDescent="0.2">
      <c r="B11" s="20" t="s">
        <v>128</v>
      </c>
      <c r="C11" s="35"/>
      <c r="D11" s="167">
        <f>Faturamento!E41</f>
        <v>21490.497543886071</v>
      </c>
      <c r="E11" s="167">
        <f>Faturamento!F41</f>
        <v>5292.7032438140595</v>
      </c>
      <c r="F11" s="167">
        <f>Faturamento!G41</f>
        <v>5345.6302762522246</v>
      </c>
      <c r="G11" s="167">
        <f>Faturamento!H41</f>
        <v>5399.0865790147218</v>
      </c>
      <c r="H11" s="167">
        <f>Faturamento!I41</f>
        <v>5453.0774448048905</v>
      </c>
    </row>
    <row r="12" spans="1:8" s="4" customFormat="1" ht="18" customHeight="1" x14ac:dyDescent="0.2">
      <c r="B12" s="19" t="s">
        <v>129</v>
      </c>
      <c r="C12" s="34"/>
      <c r="D12" s="166">
        <f>D10+D11</f>
        <v>1204796.691555752</v>
      </c>
      <c r="E12" s="166">
        <f>E10+E11</f>
        <v>296718.64713749994</v>
      </c>
      <c r="F12" s="166">
        <f>F10+F11</f>
        <v>299685.83360887493</v>
      </c>
      <c r="G12" s="166">
        <f>G10+G11</f>
        <v>302682.69194496371</v>
      </c>
      <c r="H12" s="166">
        <f>H10+H11</f>
        <v>305709.51886441332</v>
      </c>
    </row>
    <row r="13" spans="1:8" s="4" customFormat="1" ht="18" customHeight="1" x14ac:dyDescent="0.2">
      <c r="B13" s="44"/>
      <c r="C13" s="46"/>
      <c r="D13" s="179"/>
      <c r="E13" s="179"/>
      <c r="F13" s="179"/>
      <c r="G13" s="179"/>
      <c r="H13" s="180"/>
    </row>
    <row r="14" spans="1:8" s="4" customFormat="1" ht="18" customHeight="1" x14ac:dyDescent="0.2">
      <c r="B14" s="19" t="s">
        <v>130</v>
      </c>
      <c r="C14" s="34"/>
      <c r="D14" s="166">
        <f>SUM(E14:H14)</f>
        <v>709071.79138012452</v>
      </c>
      <c r="E14" s="166">
        <f>'Plano financeiro'!C30</f>
        <v>176445.77491410324</v>
      </c>
      <c r="F14" s="166">
        <f>'Plano financeiro'!D30</f>
        <v>176067.49148022139</v>
      </c>
      <c r="G14" s="166">
        <f>'Plano financeiro'!E30</f>
        <v>177805.42570320822</v>
      </c>
      <c r="H14" s="166">
        <f>'Plano financeiro'!F30</f>
        <v>178753.09928259172</v>
      </c>
    </row>
    <row r="15" spans="1:8" s="4" customFormat="1" ht="18" customHeight="1" x14ac:dyDescent="0.2">
      <c r="B15" s="44"/>
      <c r="C15" s="46"/>
      <c r="D15" s="161"/>
      <c r="E15" s="161"/>
      <c r="F15" s="161"/>
      <c r="G15" s="161"/>
      <c r="H15" s="162"/>
    </row>
    <row r="16" spans="1:8" s="4" customFormat="1" ht="18" customHeight="1" x14ac:dyDescent="0.2">
      <c r="B16" s="19" t="s">
        <v>131</v>
      </c>
      <c r="C16" s="34"/>
      <c r="D16" s="148">
        <f>D12-D14</f>
        <v>495724.90017562744</v>
      </c>
      <c r="E16" s="148">
        <f>E12-E14</f>
        <v>120272.8722233967</v>
      </c>
      <c r="F16" s="148">
        <f>F12-F14</f>
        <v>123618.34212865354</v>
      </c>
      <c r="G16" s="148">
        <f>G12-G14</f>
        <v>124877.26624175548</v>
      </c>
      <c r="H16" s="148">
        <f>H12-H14</f>
        <v>126956.4195818216</v>
      </c>
    </row>
    <row r="17" spans="2:8" s="4" customFormat="1" ht="18" customHeight="1" x14ac:dyDescent="0.2">
      <c r="B17" s="20" t="s">
        <v>132</v>
      </c>
      <c r="C17" s="35"/>
      <c r="D17" s="43">
        <f>D16/D12</f>
        <v>0.41145938036690549</v>
      </c>
      <c r="E17" s="43">
        <f>E16/E12</f>
        <v>0.40534315380476255</v>
      </c>
      <c r="F17" s="43">
        <f>F16/F12</f>
        <v>0.41249311200338534</v>
      </c>
      <c r="G17" s="43">
        <f>G16/G12</f>
        <v>0.41256824246977991</v>
      </c>
      <c r="H17" s="43">
        <f>H16/H12</f>
        <v>0.41528448330105366</v>
      </c>
    </row>
    <row r="18" spans="2:8" s="4" customFormat="1" ht="18" customHeight="1" x14ac:dyDescent="0.2">
      <c r="B18" s="48"/>
      <c r="C18" s="50"/>
      <c r="D18" s="50"/>
      <c r="E18" s="50"/>
      <c r="F18" s="50"/>
      <c r="G18" s="50"/>
      <c r="H18" s="51"/>
    </row>
    <row r="19" spans="2:8" s="4" customFormat="1" ht="18" customHeight="1" x14ac:dyDescent="0.2">
      <c r="B19" s="181" t="s">
        <v>133</v>
      </c>
      <c r="C19" s="35"/>
      <c r="D19" s="167">
        <f>SUM(D20:D22)</f>
        <v>165359.1878471176</v>
      </c>
      <c r="E19" s="167">
        <f>SUM(E20:E22)</f>
        <v>40977.24893325584</v>
      </c>
      <c r="F19" s="167">
        <f>SUM(F20:F22)</f>
        <v>41149.441130215251</v>
      </c>
      <c r="G19" s="167">
        <f>SUM(G20:G22)</f>
        <v>41556.446611805033</v>
      </c>
      <c r="H19" s="167">
        <f>SUM(H20:H22)</f>
        <v>41676.0511718415</v>
      </c>
    </row>
    <row r="20" spans="2:8" s="4" customFormat="1" ht="18" customHeight="1" x14ac:dyDescent="0.2">
      <c r="B20" s="19" t="s">
        <v>75</v>
      </c>
      <c r="C20" s="34"/>
      <c r="D20" s="166">
        <f>'Gastos operacionais'!C67</f>
        <v>98878.522505270405</v>
      </c>
      <c r="E20" s="166">
        <f>'Gastos operacionais'!D67</f>
        <v>24466.730879670558</v>
      </c>
      <c r="F20" s="166">
        <f>'Gastos operacionais'!E67</f>
        <v>24603.063932209243</v>
      </c>
      <c r="G20" s="166">
        <f>'Gastos operacionais'!F67</f>
        <v>24847.089404512437</v>
      </c>
      <c r="H20" s="166">
        <f>'Gastos operacionais'!G67</f>
        <v>24961.638288878174</v>
      </c>
    </row>
    <row r="21" spans="2:8" s="4" customFormat="1" ht="18" customHeight="1" x14ac:dyDescent="0.2">
      <c r="B21" s="20" t="s">
        <v>76</v>
      </c>
      <c r="C21" s="35"/>
      <c r="D21" s="167">
        <f>'Gastos operacionais'!C74</f>
        <v>17780.747447440968</v>
      </c>
      <c r="E21" s="167">
        <f>'Gastos operacionais'!D74</f>
        <v>4414.1795133963196</v>
      </c>
      <c r="F21" s="167">
        <f>'Gastos operacionais'!E74</f>
        <v>4426.0362552306688</v>
      </c>
      <c r="G21" s="167">
        <f>'Gastos operacionais'!F74</f>
        <v>4469.4713799481488</v>
      </c>
      <c r="H21" s="167">
        <f>'Gastos operacionais'!G74</f>
        <v>4471.0602988658311</v>
      </c>
    </row>
    <row r="22" spans="2:8" s="4" customFormat="1" ht="18" customHeight="1" x14ac:dyDescent="0.2">
      <c r="B22" s="19" t="s">
        <v>342</v>
      </c>
      <c r="C22" s="34"/>
      <c r="D22" s="166">
        <f>'Gastos operacionais'!C81</f>
        <v>48699.917894406237</v>
      </c>
      <c r="E22" s="166">
        <f>'Gastos operacionais'!D81</f>
        <v>12096.338540188961</v>
      </c>
      <c r="F22" s="166">
        <f>'Gastos operacionais'!E81</f>
        <v>12120.340942775341</v>
      </c>
      <c r="G22" s="166">
        <f>'Gastos operacionais'!F81</f>
        <v>12239.885827344446</v>
      </c>
      <c r="H22" s="166">
        <f>'Gastos operacionais'!G81</f>
        <v>12243.352584097493</v>
      </c>
    </row>
    <row r="23" spans="2:8" s="4" customFormat="1" ht="18" customHeight="1" x14ac:dyDescent="0.2">
      <c r="B23" s="44"/>
      <c r="C23" s="46"/>
      <c r="D23" s="179"/>
      <c r="E23" s="179"/>
      <c r="F23" s="179"/>
      <c r="G23" s="179"/>
      <c r="H23" s="180"/>
    </row>
    <row r="24" spans="2:8" s="4" customFormat="1" ht="18" customHeight="1" x14ac:dyDescent="0.2">
      <c r="B24" s="19" t="s">
        <v>135</v>
      </c>
      <c r="C24" s="34"/>
      <c r="D24" s="166">
        <f>D16-D19</f>
        <v>330365.71232850984</v>
      </c>
      <c r="E24" s="166">
        <f>E16-E19</f>
        <v>79295.623290140851</v>
      </c>
      <c r="F24" s="166">
        <f>F16-F19</f>
        <v>82468.900998438301</v>
      </c>
      <c r="G24" s="166">
        <f>G16-G19</f>
        <v>83320.819629950449</v>
      </c>
      <c r="H24" s="166">
        <f>H16-H19</f>
        <v>85280.368409980088</v>
      </c>
    </row>
    <row r="25" spans="2:8" s="4" customFormat="1" ht="18" customHeight="1" x14ac:dyDescent="0.2">
      <c r="B25" s="44"/>
      <c r="C25" s="46"/>
      <c r="D25" s="161"/>
      <c r="E25" s="161"/>
      <c r="F25" s="161"/>
      <c r="G25" s="161"/>
      <c r="H25" s="162"/>
    </row>
    <row r="26" spans="2:8" s="4" customFormat="1" ht="18" customHeight="1" x14ac:dyDescent="0.2">
      <c r="B26" s="122" t="s">
        <v>341</v>
      </c>
      <c r="C26" s="34"/>
      <c r="D26" s="166">
        <f>SUM(E26:H26)</f>
        <v>67639.38</v>
      </c>
      <c r="E26" s="166">
        <f>'Plano financeiro'!C65</f>
        <v>21487.870000000003</v>
      </c>
      <c r="F26" s="166">
        <f>'Plano financeiro'!D65</f>
        <v>18694.620000000003</v>
      </c>
      <c r="G26" s="166">
        <f>'Plano financeiro'!E65</f>
        <v>15469.970000000001</v>
      </c>
      <c r="H26" s="166">
        <f>'Plano financeiro'!F65</f>
        <v>11986.92</v>
      </c>
    </row>
    <row r="27" spans="2:8" s="4" customFormat="1" ht="18" customHeight="1" x14ac:dyDescent="0.2">
      <c r="B27" s="44"/>
      <c r="C27" s="47"/>
      <c r="D27" s="179"/>
      <c r="E27" s="179"/>
      <c r="F27" s="179"/>
      <c r="G27" s="179"/>
      <c r="H27" s="180"/>
    </row>
    <row r="28" spans="2:8" s="4" customFormat="1" ht="18" customHeight="1" x14ac:dyDescent="0.2">
      <c r="B28" s="19" t="s">
        <v>137</v>
      </c>
      <c r="C28" s="34"/>
      <c r="D28" s="166">
        <f>D24-D26</f>
        <v>262726.33232850983</v>
      </c>
      <c r="E28" s="166">
        <f>E24-E26</f>
        <v>57807.753290140849</v>
      </c>
      <c r="F28" s="166">
        <f>F24-F26</f>
        <v>63774.280998438298</v>
      </c>
      <c r="G28" s="166">
        <f>G24-G26</f>
        <v>67850.849629950448</v>
      </c>
      <c r="H28" s="166">
        <f>H24-H26</f>
        <v>73293.44840998009</v>
      </c>
    </row>
    <row r="29" spans="2:8" s="4" customFormat="1" ht="18" customHeight="1" x14ac:dyDescent="0.2">
      <c r="B29" s="20" t="s">
        <v>141</v>
      </c>
      <c r="C29" s="22">
        <v>0.33</v>
      </c>
      <c r="D29" s="167">
        <f>D28*$C$29</f>
        <v>86699.689668408246</v>
      </c>
      <c r="E29" s="167">
        <f>E28*$C$29</f>
        <v>19076.558585746479</v>
      </c>
      <c r="F29" s="167">
        <f>F28*$C$29</f>
        <v>21045.512729484639</v>
      </c>
      <c r="G29" s="167">
        <f>G28*$C$29</f>
        <v>22390.78037788365</v>
      </c>
      <c r="H29" s="167">
        <f>H28*$C$29</f>
        <v>24186.837975293431</v>
      </c>
    </row>
    <row r="30" spans="2:8" s="4" customFormat="1" ht="18" customHeight="1" x14ac:dyDescent="0.2">
      <c r="B30" s="19" t="s">
        <v>138</v>
      </c>
      <c r="C30" s="34"/>
      <c r="D30" s="166">
        <f>D28-D29</f>
        <v>176026.64266010158</v>
      </c>
      <c r="E30" s="166">
        <f>E28-E29</f>
        <v>38731.194704394366</v>
      </c>
      <c r="F30" s="166">
        <f>F28-F29</f>
        <v>42728.76826895366</v>
      </c>
      <c r="G30" s="166">
        <f>G28-G29</f>
        <v>45460.069252066794</v>
      </c>
      <c r="H30" s="166">
        <f>H28-H29</f>
        <v>49106.610434686663</v>
      </c>
    </row>
    <row r="31" spans="2:8" s="4" customFormat="1" ht="18" customHeight="1" x14ac:dyDescent="0.2">
      <c r="B31" s="60" t="s">
        <v>139</v>
      </c>
      <c r="C31" s="55"/>
      <c r="D31" s="56">
        <f>D30/D12</f>
        <v>0.14610485229072026</v>
      </c>
      <c r="E31" s="56">
        <f>E30/E12</f>
        <v>0.13053171776712186</v>
      </c>
      <c r="F31" s="56">
        <f>F30/F12</f>
        <v>0.14257853884651653</v>
      </c>
      <c r="G31" s="56">
        <f>G30/G12</f>
        <v>0.15019051456147589</v>
      </c>
      <c r="H31" s="56">
        <f>H30/H12</f>
        <v>0.16063160420093484</v>
      </c>
    </row>
    <row r="32" spans="2:8" s="4" customFormat="1" ht="18" customHeight="1" x14ac:dyDescent="0.2">
      <c r="E32" s="4" t="s">
        <v>0</v>
      </c>
    </row>
    <row r="33" s="4" customFormat="1" ht="18" customHeight="1" x14ac:dyDescent="0.2"/>
    <row r="34" s="4" customFormat="1" ht="18" customHeight="1" x14ac:dyDescent="0.2"/>
    <row r="35" s="4" customFormat="1" ht="18" customHeight="1" x14ac:dyDescent="0.2"/>
    <row r="36" s="4" customFormat="1" ht="18" customHeight="1" x14ac:dyDescent="0.2"/>
    <row r="37" s="4" customFormat="1" ht="18" customHeight="1" x14ac:dyDescent="0.2"/>
    <row r="38" s="4" customFormat="1" ht="18" customHeight="1" x14ac:dyDescent="0.2"/>
    <row r="39" s="4" customFormat="1" ht="18" customHeight="1" x14ac:dyDescent="0.2"/>
    <row r="40" s="4" customFormat="1" ht="18" customHeight="1" x14ac:dyDescent="0.2"/>
    <row r="41" s="4" customFormat="1" ht="18" customHeight="1" x14ac:dyDescent="0.2"/>
    <row r="42" s="4" customFormat="1" ht="18" customHeight="1" x14ac:dyDescent="0.2"/>
    <row r="43" s="146" customFormat="1" ht="30" customHeight="1" x14ac:dyDescent="0.2"/>
    <row r="44" s="4" customFormat="1" ht="18" customHeight="1" x14ac:dyDescent="0.2"/>
    <row r="45" s="4" customFormat="1" ht="18" customHeight="1" x14ac:dyDescent="0.2"/>
    <row r="46" s="4" customFormat="1" ht="18" customHeight="1" x14ac:dyDescent="0.2"/>
    <row r="47" s="4" customFormat="1" ht="18" customHeight="1" x14ac:dyDescent="0.2"/>
    <row r="48" s="4" customFormat="1" ht="18" customHeight="1" x14ac:dyDescent="0.2"/>
    <row r="49" s="4" customFormat="1" ht="18" customHeight="1" x14ac:dyDescent="0.2"/>
    <row r="50" s="4" customFormat="1" ht="18" customHeight="1" x14ac:dyDescent="0.2"/>
    <row r="51" s="4" customFormat="1" ht="18" customHeight="1" x14ac:dyDescent="0.2"/>
    <row r="52" s="4" customFormat="1" ht="18" customHeight="1" x14ac:dyDescent="0.2"/>
    <row r="53" s="4" customFormat="1" ht="18" customHeight="1" x14ac:dyDescent="0.2"/>
    <row r="54" s="4" customFormat="1" ht="18" customHeight="1" x14ac:dyDescent="0.2"/>
  </sheetData>
  <mergeCells count="2">
    <mergeCell ref="A1:XFD1"/>
    <mergeCell ref="D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Orçamento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7" width="11.7109375" style="1" bestFit="1" customWidth="1"/>
    <col min="8" max="16384" width="11.42578125" style="1"/>
  </cols>
  <sheetData>
    <row r="1" spans="1:9" s="188" customFormat="1" ht="52.5" customHeight="1" thickBot="1" x14ac:dyDescent="0.25">
      <c r="A1" s="188" t="s">
        <v>222</v>
      </c>
    </row>
    <row r="2" spans="1:9" ht="18" customHeight="1" thickTop="1" x14ac:dyDescent="0.2"/>
    <row r="3" spans="1:9" ht="18" customHeight="1" x14ac:dyDescent="0.2">
      <c r="B3" s="3" t="s">
        <v>226</v>
      </c>
    </row>
    <row r="5" spans="1:9" s="4" customFormat="1" ht="18" customHeight="1" x14ac:dyDescent="0.2"/>
    <row r="6" spans="1:9" s="4" customFormat="1" ht="18" customHeight="1" x14ac:dyDescent="0.2">
      <c r="C6" s="195" t="s">
        <v>214</v>
      </c>
      <c r="D6" s="194" t="s">
        <v>207</v>
      </c>
      <c r="E6" s="194"/>
      <c r="F6" s="194"/>
      <c r="G6" s="194"/>
    </row>
    <row r="7" spans="1:9" s="4" customFormat="1" ht="18" customHeight="1" x14ac:dyDescent="0.2">
      <c r="A7" s="4" t="s">
        <v>0</v>
      </c>
      <c r="C7" s="196"/>
      <c r="D7" s="70" t="s">
        <v>268</v>
      </c>
      <c r="E7" s="70" t="s">
        <v>267</v>
      </c>
      <c r="F7" s="70" t="s">
        <v>266</v>
      </c>
      <c r="G7" s="70" t="s">
        <v>265</v>
      </c>
      <c r="I7" s="4" t="s">
        <v>0</v>
      </c>
    </row>
    <row r="8" spans="1:9" s="4" customFormat="1" ht="18" customHeight="1" x14ac:dyDescent="0.2">
      <c r="B8" s="71" t="s">
        <v>142</v>
      </c>
    </row>
    <row r="9" spans="1:9" s="4" customFormat="1" ht="18" customHeight="1" x14ac:dyDescent="0.2"/>
    <row r="10" spans="1:9" s="4" customFormat="1" ht="18" customHeight="1" x14ac:dyDescent="0.2">
      <c r="B10" s="19" t="s">
        <v>208</v>
      </c>
      <c r="C10" s="34">
        <v>1</v>
      </c>
      <c r="D10" s="76">
        <f>'Plano financeiro'!C69</f>
        <v>-2.328598711756058E-4</v>
      </c>
      <c r="E10" s="76">
        <f>'Plano financeiro'!D69</f>
        <v>-0.18469447829556884</v>
      </c>
      <c r="F10" s="76">
        <f>'Plano financeiro'!E69</f>
        <v>-0.51445449577295221</v>
      </c>
      <c r="G10" s="76">
        <f>'Plano financeiro'!F69</f>
        <v>-0.22495466757573013</v>
      </c>
    </row>
    <row r="11" spans="1:9" s="4" customFormat="1" ht="18" customHeight="1" x14ac:dyDescent="0.2">
      <c r="B11" s="20" t="s">
        <v>209</v>
      </c>
      <c r="C11" s="149">
        <v>228500</v>
      </c>
      <c r="D11" s="167">
        <f>'Plano financeiro'!C20</f>
        <v>131317.84826041036</v>
      </c>
      <c r="E11" s="167">
        <f>'Plano financeiro'!D20</f>
        <v>132631.02674301446</v>
      </c>
      <c r="F11" s="167">
        <f>'Plano financeiro'!E20</f>
        <v>133957.33701044461</v>
      </c>
      <c r="G11" s="167">
        <f>'Plano financeiro'!F20</f>
        <v>135296.91038054906</v>
      </c>
    </row>
    <row r="12" spans="1:9" s="4" customFormat="1" ht="18" customHeight="1" x14ac:dyDescent="0.2">
      <c r="B12" s="19" t="s">
        <v>210</v>
      </c>
      <c r="C12" s="148">
        <v>94790</v>
      </c>
      <c r="D12" s="166">
        <f>'Plano financeiro'!C32</f>
        <v>91705.728286182828</v>
      </c>
      <c r="E12" s="166">
        <f>'Plano financeiro'!D32</f>
        <v>92212.632474922924</v>
      </c>
      <c r="F12" s="166">
        <f>'Plano financeiro'!E32</f>
        <v>92212.632474922895</v>
      </c>
      <c r="G12" s="166">
        <f>'Plano financeiro'!F32</f>
        <v>92212.632474922924</v>
      </c>
    </row>
    <row r="13" spans="1:9" s="4" customFormat="1" ht="18" customHeight="1" x14ac:dyDescent="0.2">
      <c r="B13" s="44"/>
      <c r="C13" s="161"/>
      <c r="D13" s="179"/>
      <c r="E13" s="179"/>
      <c r="F13" s="179"/>
      <c r="G13" s="180"/>
    </row>
    <row r="14" spans="1:9" s="4" customFormat="1" ht="18" customHeight="1" x14ac:dyDescent="0.2">
      <c r="B14" s="19" t="s">
        <v>146</v>
      </c>
      <c r="C14" s="148">
        <f>SUM(C10:C12)</f>
        <v>323291</v>
      </c>
      <c r="D14" s="166">
        <f>SUM(D10:D12)</f>
        <v>223023.57631373333</v>
      </c>
      <c r="E14" s="166">
        <f>SUM(E10:E12)</f>
        <v>224843.4745234591</v>
      </c>
      <c r="F14" s="166">
        <f>SUM(F10:F12)</f>
        <v>226169.45503087173</v>
      </c>
      <c r="G14" s="166">
        <f>SUM(G10:G12)</f>
        <v>227509.3179008044</v>
      </c>
    </row>
    <row r="15" spans="1:9" s="4" customFormat="1" ht="18" customHeight="1" x14ac:dyDescent="0.2">
      <c r="B15" s="44"/>
      <c r="C15" s="161"/>
      <c r="D15" s="179"/>
      <c r="E15" s="179"/>
      <c r="F15" s="179"/>
      <c r="G15" s="180"/>
    </row>
    <row r="16" spans="1:9" s="4" customFormat="1" ht="18" customHeight="1" x14ac:dyDescent="0.2">
      <c r="B16" s="19" t="s">
        <v>211</v>
      </c>
      <c r="C16" s="148">
        <v>1260000</v>
      </c>
      <c r="D16" s="166">
        <f>Investimento!D30</f>
        <v>1274690.4305555555</v>
      </c>
      <c r="E16" s="166">
        <f>Investimento!E30</f>
        <v>1280695.75</v>
      </c>
      <c r="F16" s="166">
        <f>Investimento!F30</f>
        <v>1281695.75</v>
      </c>
      <c r="G16" s="166">
        <f>Investimento!G30</f>
        <v>1282695.75</v>
      </c>
    </row>
    <row r="17" spans="2:7" s="4" customFormat="1" ht="18" customHeight="1" x14ac:dyDescent="0.2">
      <c r="B17" s="20" t="s">
        <v>212</v>
      </c>
      <c r="C17" s="149">
        <v>201600</v>
      </c>
      <c r="D17" s="167">
        <f>Investimento!D44</f>
        <v>221425</v>
      </c>
      <c r="E17" s="167">
        <f>Investimento!E44</f>
        <v>241642.26076388889</v>
      </c>
      <c r="F17" s="167">
        <f>Investimento!F44</f>
        <v>262034.65451388888</v>
      </c>
      <c r="G17" s="167">
        <f>Investimento!G44</f>
        <v>282477.04826388892</v>
      </c>
    </row>
    <row r="18" spans="2:7" s="4" customFormat="1" ht="18" customHeight="1" x14ac:dyDescent="0.2">
      <c r="B18" s="19" t="s">
        <v>213</v>
      </c>
      <c r="C18" s="148">
        <f>C16-C17</f>
        <v>1058400</v>
      </c>
      <c r="D18" s="166">
        <f>D16-D17</f>
        <v>1053265.4305555555</v>
      </c>
      <c r="E18" s="166">
        <f>E16-E17</f>
        <v>1039053.4892361111</v>
      </c>
      <c r="F18" s="166">
        <f>F16-F17</f>
        <v>1019661.0954861111</v>
      </c>
      <c r="G18" s="166">
        <f>G16-G17</f>
        <v>1000218.7017361111</v>
      </c>
    </row>
    <row r="19" spans="2:7" s="4" customFormat="1" ht="18" customHeight="1" x14ac:dyDescent="0.2">
      <c r="B19" s="44"/>
      <c r="C19" s="161"/>
      <c r="D19" s="161"/>
      <c r="E19" s="161"/>
      <c r="F19" s="161"/>
      <c r="G19" s="162"/>
    </row>
    <row r="20" spans="2:7" s="4" customFormat="1" ht="18" customHeight="1" x14ac:dyDescent="0.2">
      <c r="B20" s="122" t="s">
        <v>150</v>
      </c>
      <c r="C20" s="176">
        <f>C14+C18</f>
        <v>1381691</v>
      </c>
      <c r="D20" s="176">
        <f>D14+D18</f>
        <v>1276289.0068692889</v>
      </c>
      <c r="E20" s="176">
        <f>E14+E18</f>
        <v>1263896.9637595701</v>
      </c>
      <c r="F20" s="176">
        <f>F14+F18</f>
        <v>1245830.5505169828</v>
      </c>
      <c r="G20" s="176">
        <f>G14+G18</f>
        <v>1227728.0196369155</v>
      </c>
    </row>
    <row r="21" spans="2:7" s="4" customFormat="1" ht="18" customHeight="1" x14ac:dyDescent="0.2"/>
    <row r="22" spans="2:7" s="4" customFormat="1" ht="18" customHeight="1" x14ac:dyDescent="0.2">
      <c r="B22" s="71" t="s">
        <v>151</v>
      </c>
      <c r="C22" s="90"/>
      <c r="D22" s="5"/>
    </row>
    <row r="23" spans="2:7" s="4" customFormat="1" ht="18" customHeight="1" x14ac:dyDescent="0.2">
      <c r="C23" s="90"/>
      <c r="D23" s="90"/>
    </row>
    <row r="24" spans="2:7" s="4" customFormat="1" ht="18" customHeight="1" x14ac:dyDescent="0.2">
      <c r="B24" s="19" t="s">
        <v>215</v>
      </c>
      <c r="C24" s="148">
        <v>610000</v>
      </c>
      <c r="D24" s="166">
        <f>'Plano financeiro'!C78</f>
        <v>190019</v>
      </c>
      <c r="E24" s="166">
        <f>'Plano financeiro'!D78</f>
        <v>134154</v>
      </c>
      <c r="F24" s="166">
        <f>'Plano financeiro'!E78</f>
        <v>69661</v>
      </c>
      <c r="G24" s="166">
        <f>'Plano financeiro'!F78</f>
        <v>0</v>
      </c>
    </row>
    <row r="25" spans="2:7" s="4" customFormat="1" ht="18" customHeight="1" x14ac:dyDescent="0.2">
      <c r="B25" s="20" t="s">
        <v>216</v>
      </c>
      <c r="C25" s="149">
        <v>90000</v>
      </c>
      <c r="D25" s="167">
        <f>'Plano financeiro'!C44</f>
        <v>58049.869103213372</v>
      </c>
      <c r="E25" s="167">
        <f>'Plano financeiro'!D44</f>
        <v>56803.209242522105</v>
      </c>
      <c r="F25" s="167">
        <f>'Plano financeiro'!E44</f>
        <v>55980.37194362811</v>
      </c>
      <c r="G25" s="167">
        <f>'Plano financeiro'!F44</f>
        <v>56300.029371763681</v>
      </c>
    </row>
    <row r="26" spans="2:7" s="4" customFormat="1" ht="18" customHeight="1" x14ac:dyDescent="0.2">
      <c r="B26" s="19" t="s">
        <v>217</v>
      </c>
      <c r="C26" s="148">
        <v>12000</v>
      </c>
      <c r="D26" s="166">
        <f>'DRE Projetado'!E29</f>
        <v>19076.558585746479</v>
      </c>
      <c r="E26" s="166">
        <f>'DRE Projetado'!F29</f>
        <v>21045.512729484639</v>
      </c>
      <c r="F26" s="166">
        <f>'DRE Projetado'!G29</f>
        <v>22390.78037788365</v>
      </c>
      <c r="G26" s="166">
        <f>'DRE Projetado'!H29</f>
        <v>24186.837975293431</v>
      </c>
    </row>
    <row r="27" spans="2:7" s="4" customFormat="1" ht="18" customHeight="1" x14ac:dyDescent="0.2">
      <c r="B27" s="20" t="s">
        <v>160</v>
      </c>
      <c r="C27" s="149">
        <v>32100</v>
      </c>
      <c r="D27" s="167">
        <f>Faturamento!F43-'Matéria-prima'!D59</f>
        <v>33148.384475934676</v>
      </c>
      <c r="E27" s="167">
        <f>Faturamento!G43-'Matéria-prima'!E59</f>
        <v>33170.278814215366</v>
      </c>
      <c r="F27" s="167">
        <f>Faturamento!H43-'Matéria-prima'!F59</f>
        <v>33614.36597005622</v>
      </c>
      <c r="G27" s="167">
        <f>Faturamento!I43-'Matéria-prima'!G59</f>
        <v>33950.509629756794</v>
      </c>
    </row>
    <row r="28" spans="2:7" s="4" customFormat="1" ht="18" customHeight="1" x14ac:dyDescent="0.2">
      <c r="B28" s="48"/>
      <c r="C28" s="182"/>
      <c r="D28" s="183"/>
      <c r="E28" s="183"/>
      <c r="F28" s="183"/>
      <c r="G28" s="184"/>
    </row>
    <row r="29" spans="2:7" s="4" customFormat="1" ht="18" customHeight="1" x14ac:dyDescent="0.2">
      <c r="B29" s="20" t="s">
        <v>146</v>
      </c>
      <c r="C29" s="149">
        <f>SUM(C24:C27)</f>
        <v>744100</v>
      </c>
      <c r="D29" s="149">
        <f>SUM(D24:D28)</f>
        <v>300293.81216489454</v>
      </c>
      <c r="E29" s="149">
        <f>SUM(E24:E28)</f>
        <v>245173.00078622211</v>
      </c>
      <c r="F29" s="149">
        <f>SUM(F24:F28)</f>
        <v>181646.51829156798</v>
      </c>
      <c r="G29" s="149">
        <f>SUM(G24:G28)</f>
        <v>114437.3769768139</v>
      </c>
    </row>
    <row r="30" spans="2:7" s="4" customFormat="1" ht="18" customHeight="1" x14ac:dyDescent="0.2">
      <c r="B30" s="48"/>
      <c r="C30" s="182"/>
      <c r="D30" s="182"/>
      <c r="E30" s="182"/>
      <c r="F30" s="182"/>
      <c r="G30" s="185"/>
    </row>
    <row r="31" spans="2:7" s="4" customFormat="1" ht="18" customHeight="1" x14ac:dyDescent="0.2">
      <c r="B31" s="20" t="s">
        <v>218</v>
      </c>
      <c r="C31" s="149"/>
      <c r="D31" s="149">
        <f>'Plano financeiro'!C84</f>
        <v>299673</v>
      </c>
      <c r="E31" s="149">
        <f>'Plano financeiro'!D84</f>
        <v>299673</v>
      </c>
      <c r="F31" s="149">
        <f>'Plano financeiro'!E84</f>
        <v>299673</v>
      </c>
      <c r="G31" s="149">
        <f>'Plano financeiro'!F84</f>
        <v>299673</v>
      </c>
    </row>
    <row r="32" spans="2:7" s="4" customFormat="1" ht="18" customHeight="1" x14ac:dyDescent="0.2">
      <c r="B32" s="48"/>
      <c r="C32" s="182"/>
      <c r="D32" s="182"/>
      <c r="E32" s="182"/>
      <c r="F32" s="182"/>
      <c r="G32" s="185"/>
    </row>
    <row r="33" spans="2:7" s="4" customFormat="1" ht="18" customHeight="1" x14ac:dyDescent="0.2">
      <c r="B33" s="20" t="s">
        <v>219</v>
      </c>
      <c r="C33" s="149">
        <v>450000</v>
      </c>
      <c r="D33" s="149">
        <f>D20-D29-D31-D34-D35</f>
        <v>450000</v>
      </c>
      <c r="E33" s="149">
        <f>E20-E29-E31-E34-E35</f>
        <v>450000</v>
      </c>
      <c r="F33" s="149">
        <f>F20-F29-F31-F34-F35</f>
        <v>450000</v>
      </c>
      <c r="G33" s="149">
        <f>G20-G29-G31-G34-G35</f>
        <v>450000.00000000023</v>
      </c>
    </row>
    <row r="34" spans="2:7" s="4" customFormat="1" ht="18" customHeight="1" x14ac:dyDescent="0.2">
      <c r="B34" s="19" t="s">
        <v>220</v>
      </c>
      <c r="C34" s="148">
        <v>105921</v>
      </c>
      <c r="D34" s="148">
        <f>C34+'DRE Projetado'!E30</f>
        <v>144652.19470439438</v>
      </c>
      <c r="E34" s="148">
        <f>D34+'DRE Projetado'!F30</f>
        <v>187380.96297334804</v>
      </c>
      <c r="F34" s="148">
        <f>E34+'DRE Projetado'!G30</f>
        <v>232841.03222541482</v>
      </c>
      <c r="G34" s="148">
        <f>F34+'DRE Projetado'!H30</f>
        <v>281947.64266010147</v>
      </c>
    </row>
    <row r="35" spans="2:7" s="4" customFormat="1" ht="18" customHeight="1" x14ac:dyDescent="0.2">
      <c r="B35" s="20" t="s">
        <v>221</v>
      </c>
      <c r="C35" s="149">
        <v>81670</v>
      </c>
      <c r="D35" s="149">
        <f>81670</f>
        <v>81670</v>
      </c>
      <c r="E35" s="149">
        <f>81670</f>
        <v>81670</v>
      </c>
      <c r="F35" s="149">
        <f>81670</f>
        <v>81670</v>
      </c>
      <c r="G35" s="149">
        <f>81670</f>
        <v>81670</v>
      </c>
    </row>
    <row r="36" spans="2:7" s="4" customFormat="1" ht="18" customHeight="1" x14ac:dyDescent="0.2">
      <c r="B36" s="19" t="s">
        <v>343</v>
      </c>
      <c r="C36" s="148">
        <f>SUM(C33:C35)</f>
        <v>637591</v>
      </c>
      <c r="D36" s="148">
        <f>SUM(D33:D35)</f>
        <v>676322.19470439432</v>
      </c>
      <c r="E36" s="148">
        <f>SUM(E33:E35)</f>
        <v>719050.9629733481</v>
      </c>
      <c r="F36" s="148">
        <f>SUM(F33:F35)</f>
        <v>764511.03222541488</v>
      </c>
      <c r="G36" s="148">
        <f>SUM(G33:G35)</f>
        <v>813617.64266010164</v>
      </c>
    </row>
    <row r="37" spans="2:7" s="4" customFormat="1" ht="18" customHeight="1" x14ac:dyDescent="0.2">
      <c r="B37" s="44"/>
      <c r="C37" s="161"/>
      <c r="D37" s="161"/>
      <c r="E37" s="161"/>
      <c r="F37" s="161"/>
      <c r="G37" s="162"/>
    </row>
    <row r="38" spans="2:7" s="4" customFormat="1" ht="18" customHeight="1" x14ac:dyDescent="0.2">
      <c r="B38" s="136" t="s">
        <v>159</v>
      </c>
      <c r="C38" s="172">
        <f>C29+C31+C36</f>
        <v>1381691</v>
      </c>
      <c r="D38" s="172">
        <f>D29+D31+D36</f>
        <v>1276289.0068692889</v>
      </c>
      <c r="E38" s="172">
        <f>E29+E31+E36</f>
        <v>1263896.9637595701</v>
      </c>
      <c r="F38" s="172">
        <f>F29+F31+F36</f>
        <v>1245830.5505169828</v>
      </c>
      <c r="G38" s="172">
        <f>G29+G31+G36</f>
        <v>1227728.0196369155</v>
      </c>
    </row>
    <row r="39" spans="2:7" s="4" customFormat="1" ht="18" customHeight="1" x14ac:dyDescent="0.2"/>
    <row r="40" spans="2:7" s="4" customFormat="1" ht="18" customHeight="1" x14ac:dyDescent="0.2"/>
    <row r="41" spans="2:7" s="4" customFormat="1" ht="18" customHeight="1" x14ac:dyDescent="0.2"/>
    <row r="42" spans="2:7" s="4" customFormat="1" ht="18" customHeight="1" x14ac:dyDescent="0.2">
      <c r="E42" s="5"/>
      <c r="F42" s="5"/>
    </row>
    <row r="43" spans="2:7" s="4" customFormat="1" ht="18" customHeight="1" x14ac:dyDescent="0.2">
      <c r="F43" s="5"/>
    </row>
    <row r="44" spans="2:7" s="4" customFormat="1" ht="18" customHeight="1" x14ac:dyDescent="0.2"/>
    <row r="50" s="146" customFormat="1" ht="30" customHeight="1" x14ac:dyDescent="0.2"/>
  </sheetData>
  <mergeCells count="3">
    <mergeCell ref="A1:XFD1"/>
    <mergeCell ref="D6:G6"/>
    <mergeCell ref="C6:C7"/>
  </mergeCells>
  <phoneticPr fontId="0" type="noConversion"/>
  <pageMargins left="0.78740157480314965" right="0.78740157480314965" top="0.98425196850393704" bottom="0.71" header="0.51181102362204722" footer="0.51181102362204722"/>
  <pageSetup paperSize="9" orientation="landscape" r:id="rId1"/>
  <headerFooter alignWithMargins="0">
    <oddHeader>&amp;R&amp;"Arial,Itálico"&amp;12Planejamento Empresarial e Orçamentário</oddHeader>
    <oddFooter xml:space="preserve">&amp;R&amp;"Arial,Itálico"&amp;11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ColWidth="11.42578125" defaultRowHeight="18" customHeight="1" x14ac:dyDescent="0.2"/>
  <cols>
    <col min="1" max="1" width="2.85546875" style="1" customWidth="1"/>
    <col min="2" max="2" width="30.28515625" style="1" customWidth="1"/>
    <col min="3" max="16384" width="11.42578125" style="1"/>
  </cols>
  <sheetData>
    <row r="1" spans="1:8" s="188" customFormat="1" ht="52.5" customHeight="1" thickBot="1" x14ac:dyDescent="0.25">
      <c r="A1" s="188" t="s">
        <v>222</v>
      </c>
    </row>
    <row r="2" spans="1:8" ht="18" customHeight="1" thickTop="1" x14ac:dyDescent="0.2"/>
    <row r="3" spans="1:8" ht="22.5" customHeight="1" x14ac:dyDescent="0.2">
      <c r="B3" s="3" t="s">
        <v>163</v>
      </c>
    </row>
    <row r="6" spans="1:8" ht="22.5" customHeight="1" x14ac:dyDescent="0.2">
      <c r="B6" s="16" t="s">
        <v>241</v>
      </c>
      <c r="C6" s="126" t="s">
        <v>7</v>
      </c>
      <c r="D6" s="126" t="s">
        <v>15</v>
      </c>
      <c r="E6" s="126" t="s">
        <v>268</v>
      </c>
      <c r="F6" s="126" t="s">
        <v>267</v>
      </c>
      <c r="G6" s="126" t="s">
        <v>266</v>
      </c>
      <c r="H6" s="126" t="s">
        <v>265</v>
      </c>
    </row>
    <row r="7" spans="1:8" ht="18" customHeight="1" x14ac:dyDescent="0.2">
      <c r="B7" s="19" t="s">
        <v>164</v>
      </c>
      <c r="C7" s="34">
        <v>4</v>
      </c>
      <c r="D7" s="34">
        <v>3.5</v>
      </c>
      <c r="E7" s="34"/>
      <c r="F7" s="34"/>
      <c r="G7" s="34"/>
      <c r="H7" s="34"/>
    </row>
    <row r="8" spans="1:8" ht="18" customHeight="1" x14ac:dyDescent="0.2">
      <c r="B8" s="20" t="s">
        <v>165</v>
      </c>
      <c r="C8" s="35">
        <v>5.5</v>
      </c>
      <c r="D8" s="35">
        <v>4.0999999999999996</v>
      </c>
      <c r="E8" s="35">
        <v>1</v>
      </c>
      <c r="F8" s="35">
        <v>1</v>
      </c>
      <c r="G8" s="35">
        <v>1</v>
      </c>
      <c r="H8" s="35">
        <v>1</v>
      </c>
    </row>
    <row r="9" spans="1:8" ht="18" customHeight="1" x14ac:dyDescent="0.2">
      <c r="B9" s="19" t="s">
        <v>166</v>
      </c>
      <c r="C9" s="34">
        <v>7</v>
      </c>
      <c r="D9" s="34">
        <v>3</v>
      </c>
      <c r="E9" s="34">
        <v>3</v>
      </c>
      <c r="F9" s="34"/>
      <c r="G9" s="34"/>
      <c r="H9" s="34"/>
    </row>
    <row r="10" spans="1:8" ht="18" customHeight="1" x14ac:dyDescent="0.2">
      <c r="B10" s="20" t="s">
        <v>167</v>
      </c>
      <c r="C10" s="35">
        <v>3</v>
      </c>
      <c r="D10" s="35">
        <v>1</v>
      </c>
      <c r="E10" s="35"/>
      <c r="F10" s="35"/>
      <c r="G10" s="35">
        <v>1</v>
      </c>
      <c r="H10" s="35"/>
    </row>
    <row r="11" spans="1:8" ht="18" customHeight="1" x14ac:dyDescent="0.2">
      <c r="B11" s="19" t="s">
        <v>168</v>
      </c>
      <c r="C11" s="34">
        <v>10</v>
      </c>
      <c r="D11" s="34">
        <v>4.0999999999999996</v>
      </c>
      <c r="E11" s="34">
        <v>1</v>
      </c>
      <c r="F11" s="34">
        <v>1</v>
      </c>
      <c r="G11" s="34">
        <v>1</v>
      </c>
      <c r="H11" s="34">
        <v>1</v>
      </c>
    </row>
    <row r="12" spans="1:8" ht="18" customHeight="1" x14ac:dyDescent="0.2">
      <c r="B12" s="20" t="s">
        <v>169</v>
      </c>
      <c r="C12" s="35">
        <v>7</v>
      </c>
      <c r="D12" s="35">
        <v>4.0999999999999996</v>
      </c>
      <c r="E12" s="35">
        <v>1</v>
      </c>
      <c r="F12" s="35">
        <v>1</v>
      </c>
      <c r="G12" s="35">
        <v>1</v>
      </c>
      <c r="H12" s="35">
        <v>1</v>
      </c>
    </row>
    <row r="13" spans="1:8" ht="18" customHeight="1" x14ac:dyDescent="0.2">
      <c r="B13" s="19" t="s">
        <v>252</v>
      </c>
      <c r="C13" s="34">
        <v>24</v>
      </c>
      <c r="D13" s="34">
        <v>21.6</v>
      </c>
      <c r="E13" s="34">
        <v>5</v>
      </c>
      <c r="F13" s="34">
        <v>5</v>
      </c>
      <c r="G13" s="34">
        <v>5</v>
      </c>
      <c r="H13" s="34">
        <v>5</v>
      </c>
    </row>
    <row r="14" spans="1:8" ht="18" customHeight="1" x14ac:dyDescent="0.2">
      <c r="B14" s="20" t="s">
        <v>253</v>
      </c>
      <c r="C14" s="35">
        <v>17.5</v>
      </c>
      <c r="D14" s="35">
        <v>16.899999999999999</v>
      </c>
      <c r="E14" s="35">
        <v>4</v>
      </c>
      <c r="F14" s="35">
        <v>4</v>
      </c>
      <c r="G14" s="35">
        <v>4</v>
      </c>
      <c r="H14" s="35">
        <v>4</v>
      </c>
    </row>
    <row r="15" spans="1:8" ht="18" customHeight="1" x14ac:dyDescent="0.2">
      <c r="B15" s="57" t="s">
        <v>170</v>
      </c>
      <c r="C15" s="58">
        <v>14</v>
      </c>
      <c r="D15" s="58">
        <v>13.4</v>
      </c>
      <c r="E15" s="58">
        <v>3.2</v>
      </c>
      <c r="F15" s="58">
        <v>3.2</v>
      </c>
      <c r="G15" s="58">
        <v>3.2</v>
      </c>
      <c r="H15" s="58">
        <v>3.2</v>
      </c>
    </row>
    <row r="27" s="146" customFormat="1" ht="30" customHeight="1" x14ac:dyDescent="0.2"/>
  </sheetData>
  <mergeCells count="1">
    <mergeCell ref="A1:XF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"/>
  <sheetViews>
    <sheetView showGridLines="0" showRowColHeaders="0" workbookViewId="0">
      <pane ySplit="1" topLeftCell="A2" activePane="bottomLeft" state="frozen"/>
      <selection pane="bottomLeft" activeCell="D19" sqref="D19"/>
    </sheetView>
  </sheetViews>
  <sheetFormatPr defaultColWidth="11.42578125" defaultRowHeight="18" customHeight="1" x14ac:dyDescent="0.2"/>
  <cols>
    <col min="1" max="1" width="2.85546875" style="1" customWidth="1"/>
    <col min="2" max="2" width="28.5703125" style="1" customWidth="1"/>
    <col min="3" max="16384" width="11.42578125" style="1"/>
  </cols>
  <sheetData>
    <row r="1" spans="1:12" s="188" customFormat="1" ht="52.5" customHeight="1" thickBot="1" x14ac:dyDescent="0.25">
      <c r="A1" s="188" t="s">
        <v>222</v>
      </c>
    </row>
    <row r="2" spans="1:12" ht="18" customHeight="1" thickTop="1" x14ac:dyDescent="0.2"/>
    <row r="3" spans="1:12" ht="22.5" customHeight="1" x14ac:dyDescent="0.2">
      <c r="B3" s="3" t="s">
        <v>184</v>
      </c>
    </row>
    <row r="5" spans="1:12" ht="18" customHeight="1" x14ac:dyDescent="0.2">
      <c r="B5" s="71" t="s">
        <v>229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8" customHeight="1" x14ac:dyDescent="0.2">
      <c r="B6" s="71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8" customHeight="1" x14ac:dyDescent="0.2">
      <c r="B7" s="4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H7" s="4"/>
      <c r="I7" s="4"/>
      <c r="J7" s="4"/>
      <c r="K7" s="4"/>
      <c r="L7" s="4"/>
    </row>
    <row r="8" spans="1:12" ht="18" customHeight="1" x14ac:dyDescent="0.2">
      <c r="B8" s="19" t="s">
        <v>5</v>
      </c>
      <c r="C8" s="73">
        <v>3.3300000000000003E-2</v>
      </c>
      <c r="D8" s="73">
        <v>7.4999999999999997E-2</v>
      </c>
      <c r="E8" s="23">
        <v>0.2</v>
      </c>
      <c r="F8" s="23">
        <v>0</v>
      </c>
      <c r="H8" s="4" t="s">
        <v>0</v>
      </c>
      <c r="I8" s="4"/>
      <c r="J8" s="4"/>
      <c r="K8" s="4"/>
      <c r="L8" s="4"/>
    </row>
    <row r="9" spans="1:12" ht="18" customHeight="1" x14ac:dyDescent="0.2">
      <c r="B9" s="20" t="s">
        <v>6</v>
      </c>
      <c r="C9" s="22">
        <v>0.28000000000000003</v>
      </c>
      <c r="D9" s="22">
        <v>0.1</v>
      </c>
      <c r="E9" s="74">
        <v>6.6600000000000006E-2</v>
      </c>
      <c r="F9" s="22">
        <v>0</v>
      </c>
      <c r="H9" s="4"/>
      <c r="I9" s="4"/>
      <c r="J9" s="4"/>
      <c r="K9" s="4"/>
      <c r="L9" s="4"/>
    </row>
    <row r="10" spans="1:12" ht="18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8" customHeight="1" x14ac:dyDescent="0.2">
      <c r="B12" s="71" t="s">
        <v>254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8" customHeight="1" x14ac:dyDescent="0.2">
      <c r="B14" s="195" t="s">
        <v>185</v>
      </c>
      <c r="C14" s="195" t="s">
        <v>7</v>
      </c>
      <c r="D14" s="194" t="s">
        <v>8</v>
      </c>
      <c r="E14" s="194"/>
      <c r="F14" s="194"/>
      <c r="G14" s="194"/>
      <c r="H14" s="194"/>
      <c r="I14" s="4"/>
      <c r="J14" s="4"/>
      <c r="K14" s="4"/>
      <c r="L14" s="4"/>
    </row>
    <row r="15" spans="1:12" ht="18" customHeight="1" x14ac:dyDescent="0.2">
      <c r="B15" s="196"/>
      <c r="C15" s="196"/>
      <c r="D15" s="70" t="s">
        <v>15</v>
      </c>
      <c r="E15" s="70" t="s">
        <v>268</v>
      </c>
      <c r="F15" s="70" t="s">
        <v>267</v>
      </c>
      <c r="G15" s="70" t="s">
        <v>266</v>
      </c>
      <c r="H15" s="70" t="s">
        <v>265</v>
      </c>
      <c r="I15" s="4"/>
      <c r="J15" s="4"/>
      <c r="K15" s="4"/>
      <c r="L15" s="4"/>
    </row>
    <row r="16" spans="1:12" ht="18" customHeight="1" x14ac:dyDescent="0.2">
      <c r="B16" s="67" t="s">
        <v>1</v>
      </c>
      <c r="C16" s="66"/>
      <c r="D16" s="66"/>
      <c r="E16" s="66"/>
      <c r="F16" s="66"/>
      <c r="G16" s="66"/>
      <c r="H16" s="66"/>
      <c r="I16" s="4"/>
      <c r="J16" s="4"/>
      <c r="K16" s="4"/>
      <c r="L16" s="4"/>
    </row>
    <row r="17" spans="2:12" ht="18" customHeight="1" x14ac:dyDescent="0.2">
      <c r="B17" s="19" t="s">
        <v>9</v>
      </c>
      <c r="C17" s="148">
        <v>30000</v>
      </c>
      <c r="D17" s="148">
        <f>C17*(1+C8)</f>
        <v>30999.000000000004</v>
      </c>
      <c r="E17" s="150" t="s">
        <v>10</v>
      </c>
      <c r="F17" s="150" t="s">
        <v>10</v>
      </c>
      <c r="G17" s="150" t="s">
        <v>10</v>
      </c>
      <c r="H17" s="148"/>
      <c r="I17" s="4"/>
      <c r="J17" s="4"/>
      <c r="K17" s="4"/>
      <c r="L17" s="4"/>
    </row>
    <row r="18" spans="2:12" ht="18" customHeight="1" x14ac:dyDescent="0.2">
      <c r="B18" s="20" t="s">
        <v>11</v>
      </c>
      <c r="C18" s="149">
        <v>5000</v>
      </c>
      <c r="D18" s="149">
        <f>C18*(1+C9)</f>
        <v>6400</v>
      </c>
      <c r="E18" s="149">
        <f>$D18/4</f>
        <v>1600</v>
      </c>
      <c r="F18" s="149">
        <f>$D18/4</f>
        <v>1600</v>
      </c>
      <c r="G18" s="149">
        <f>$D18/4</f>
        <v>1600</v>
      </c>
      <c r="H18" s="149">
        <f>$D18/4</f>
        <v>1600</v>
      </c>
      <c r="I18" s="4"/>
      <c r="J18" s="4"/>
      <c r="K18" s="4"/>
      <c r="L18" s="4"/>
    </row>
    <row r="19" spans="2:12" ht="18" customHeight="1" x14ac:dyDescent="0.2">
      <c r="B19" s="19" t="s">
        <v>223</v>
      </c>
      <c r="C19" s="68">
        <f>C18/C17</f>
        <v>0.16666666666666666</v>
      </c>
      <c r="D19" s="68">
        <f>D18/D17</f>
        <v>0.2064582728475112</v>
      </c>
      <c r="E19" s="34"/>
      <c r="F19" s="34"/>
      <c r="G19" s="34"/>
      <c r="H19" s="34"/>
      <c r="I19" s="4"/>
      <c r="J19" s="4"/>
      <c r="K19" s="4"/>
      <c r="L19" s="4"/>
    </row>
    <row r="20" spans="2:12" ht="18" customHeight="1" x14ac:dyDescent="0.2">
      <c r="B20" s="67" t="s">
        <v>2</v>
      </c>
      <c r="C20" s="66"/>
      <c r="D20" s="66"/>
      <c r="E20" s="66"/>
      <c r="F20" s="66"/>
      <c r="G20" s="66"/>
      <c r="H20" s="66"/>
      <c r="I20" s="4"/>
      <c r="J20" s="4"/>
      <c r="K20" s="4"/>
      <c r="L20" s="4"/>
    </row>
    <row r="21" spans="2:12" ht="18" customHeight="1" x14ac:dyDescent="0.2">
      <c r="B21" s="19" t="s">
        <v>9</v>
      </c>
      <c r="C21" s="148">
        <v>40000</v>
      </c>
      <c r="D21" s="148">
        <f>C21*(1+D8)</f>
        <v>43000</v>
      </c>
      <c r="E21" s="148"/>
      <c r="F21" s="148"/>
      <c r="G21" s="148"/>
      <c r="H21" s="148"/>
      <c r="I21" s="4"/>
      <c r="J21" s="4"/>
      <c r="K21" s="4"/>
      <c r="L21" s="4"/>
    </row>
    <row r="22" spans="2:12" ht="18" customHeight="1" x14ac:dyDescent="0.2">
      <c r="B22" s="20" t="s">
        <v>11</v>
      </c>
      <c r="C22" s="149">
        <v>20000</v>
      </c>
      <c r="D22" s="149">
        <f>C22*(1+D9)</f>
        <v>22000</v>
      </c>
      <c r="E22" s="149">
        <f>$D22/4</f>
        <v>5500</v>
      </c>
      <c r="F22" s="149">
        <f>$D22/4</f>
        <v>5500</v>
      </c>
      <c r="G22" s="149">
        <f>$D22/4</f>
        <v>5500</v>
      </c>
      <c r="H22" s="149">
        <f>$D22/4</f>
        <v>5500</v>
      </c>
      <c r="I22" s="4"/>
      <c r="J22" s="4"/>
      <c r="K22" s="4"/>
      <c r="L22" s="4"/>
    </row>
    <row r="23" spans="2:12" ht="18" customHeight="1" x14ac:dyDescent="0.2">
      <c r="B23" s="19" t="s">
        <v>223</v>
      </c>
      <c r="C23" s="68">
        <f>C22/C21</f>
        <v>0.5</v>
      </c>
      <c r="D23" s="68">
        <f>D22/D21</f>
        <v>0.51162790697674421</v>
      </c>
      <c r="E23" s="34"/>
      <c r="F23" s="34"/>
      <c r="G23" s="34"/>
      <c r="H23" s="34"/>
      <c r="I23" s="4"/>
      <c r="J23" s="4"/>
      <c r="K23" s="4"/>
      <c r="L23" s="4"/>
    </row>
    <row r="24" spans="2:12" ht="18" customHeight="1" x14ac:dyDescent="0.2">
      <c r="B24" s="67" t="s">
        <v>3</v>
      </c>
      <c r="C24" s="66"/>
      <c r="D24" s="66"/>
      <c r="E24" s="66"/>
      <c r="F24" s="66"/>
      <c r="G24" s="66"/>
      <c r="H24" s="66"/>
      <c r="I24" s="4"/>
      <c r="J24" s="4"/>
      <c r="K24" s="4"/>
      <c r="L24" s="4"/>
    </row>
    <row r="25" spans="2:12" ht="18" customHeight="1" x14ac:dyDescent="0.2">
      <c r="B25" s="19" t="s">
        <v>9</v>
      </c>
      <c r="C25" s="148">
        <v>100000</v>
      </c>
      <c r="D25" s="148">
        <f>C25*(1+E8)</f>
        <v>120000</v>
      </c>
      <c r="E25" s="148"/>
      <c r="F25" s="148"/>
      <c r="G25" s="148"/>
      <c r="H25" s="148"/>
      <c r="I25" s="4"/>
      <c r="J25" s="4"/>
      <c r="K25" s="4"/>
      <c r="L25" s="4"/>
    </row>
    <row r="26" spans="2:12" ht="18" customHeight="1" x14ac:dyDescent="0.2">
      <c r="B26" s="20" t="s">
        <v>11</v>
      </c>
      <c r="C26" s="149">
        <v>15000</v>
      </c>
      <c r="D26" s="149">
        <f>C26*(1+E9)</f>
        <v>15999</v>
      </c>
      <c r="E26" s="149">
        <f>$D26/4</f>
        <v>3999.75</v>
      </c>
      <c r="F26" s="149">
        <f>$D26/4</f>
        <v>3999.75</v>
      </c>
      <c r="G26" s="149">
        <f>$D26/4</f>
        <v>3999.75</v>
      </c>
      <c r="H26" s="149">
        <f>$D26/4</f>
        <v>3999.75</v>
      </c>
      <c r="I26" s="4"/>
      <c r="J26" s="4"/>
      <c r="K26" s="4"/>
      <c r="L26" s="4"/>
    </row>
    <row r="27" spans="2:12" ht="18" customHeight="1" x14ac:dyDescent="0.2">
      <c r="B27" s="19" t="s">
        <v>223</v>
      </c>
      <c r="C27" s="68">
        <f>C26/C25</f>
        <v>0.15</v>
      </c>
      <c r="D27" s="68">
        <f>D26/D25</f>
        <v>0.133325</v>
      </c>
      <c r="E27" s="34"/>
      <c r="F27" s="34"/>
      <c r="G27" s="34"/>
      <c r="H27" s="34"/>
      <c r="I27" s="4"/>
      <c r="J27" s="4"/>
      <c r="K27" s="4"/>
      <c r="L27" s="4"/>
    </row>
    <row r="28" spans="2:12" ht="18" customHeight="1" x14ac:dyDescent="0.2">
      <c r="B28" s="67" t="s">
        <v>4</v>
      </c>
      <c r="C28" s="66"/>
      <c r="D28" s="66"/>
      <c r="E28" s="66"/>
      <c r="F28" s="66"/>
      <c r="G28" s="66"/>
      <c r="H28" s="66"/>
      <c r="I28" s="4"/>
      <c r="J28" s="4"/>
      <c r="K28" s="4"/>
      <c r="L28" s="4"/>
    </row>
    <row r="29" spans="2:12" ht="18" customHeight="1" x14ac:dyDescent="0.2">
      <c r="B29" s="19" t="s">
        <v>9</v>
      </c>
      <c r="C29" s="148">
        <v>30000</v>
      </c>
      <c r="D29" s="148">
        <f>C29*(1+F8)</f>
        <v>30000</v>
      </c>
      <c r="E29" s="148"/>
      <c r="F29" s="148"/>
      <c r="G29" s="148"/>
      <c r="H29" s="148"/>
      <c r="I29" s="4"/>
      <c r="J29" s="4"/>
      <c r="K29" s="4"/>
      <c r="L29" s="4"/>
    </row>
    <row r="30" spans="2:12" ht="18" customHeight="1" x14ac:dyDescent="0.2">
      <c r="B30" s="20" t="s">
        <v>11</v>
      </c>
      <c r="C30" s="149">
        <v>4000</v>
      </c>
      <c r="D30" s="149">
        <f>C30*(1+F9)</f>
        <v>4000</v>
      </c>
      <c r="E30" s="149">
        <f>$D30/4</f>
        <v>1000</v>
      </c>
      <c r="F30" s="149">
        <f>$D30/4</f>
        <v>1000</v>
      </c>
      <c r="G30" s="149">
        <f>$D30/4</f>
        <v>1000</v>
      </c>
      <c r="H30" s="149">
        <f>$D30/4</f>
        <v>1000</v>
      </c>
      <c r="I30" s="4"/>
      <c r="J30" s="4"/>
      <c r="K30" s="4"/>
      <c r="L30" s="4"/>
    </row>
    <row r="31" spans="2:12" ht="18" customHeight="1" x14ac:dyDescent="0.2">
      <c r="B31" s="19" t="s">
        <v>223</v>
      </c>
      <c r="C31" s="68">
        <f>C30/C29</f>
        <v>0.13333333333333333</v>
      </c>
      <c r="D31" s="68">
        <f>D30/D29</f>
        <v>0.13333333333333333</v>
      </c>
      <c r="E31" s="34"/>
      <c r="F31" s="34"/>
      <c r="G31" s="34"/>
      <c r="H31" s="34"/>
      <c r="I31" s="4"/>
      <c r="J31" s="4"/>
      <c r="K31" s="4"/>
      <c r="L31" s="4"/>
    </row>
    <row r="32" spans="2:12" ht="18" customHeight="1" x14ac:dyDescent="0.2">
      <c r="B32" s="67" t="s">
        <v>13</v>
      </c>
      <c r="C32" s="66"/>
      <c r="D32" s="66"/>
      <c r="E32" s="66"/>
      <c r="F32" s="66"/>
      <c r="G32" s="66"/>
      <c r="H32" s="66"/>
      <c r="I32" s="4"/>
      <c r="J32" s="4"/>
      <c r="K32" s="4"/>
      <c r="L32" s="4"/>
    </row>
    <row r="33" spans="2:12" ht="18" customHeight="1" x14ac:dyDescent="0.2">
      <c r="B33" s="19" t="s">
        <v>14</v>
      </c>
      <c r="C33" s="148">
        <f>C17+C21+C25+C29</f>
        <v>200000</v>
      </c>
      <c r="D33" s="148">
        <f>D17+D21+D25+D29</f>
        <v>223999</v>
      </c>
      <c r="E33" s="148"/>
      <c r="F33" s="148"/>
      <c r="G33" s="148"/>
      <c r="H33" s="148"/>
      <c r="I33" s="4"/>
      <c r="J33" s="4"/>
      <c r="K33" s="4"/>
      <c r="L33" s="4"/>
    </row>
    <row r="34" spans="2:12" ht="18" customHeight="1" x14ac:dyDescent="0.2">
      <c r="B34" s="20" t="s">
        <v>11</v>
      </c>
      <c r="C34" s="149">
        <f>C18+C22+C26+C30</f>
        <v>44000</v>
      </c>
      <c r="D34" s="149">
        <f>D18+D22+D26+D30</f>
        <v>48399</v>
      </c>
      <c r="E34" s="149">
        <f>E18+E22+E26+E30</f>
        <v>12099.75</v>
      </c>
      <c r="F34" s="149">
        <f>F18+F22+F26+F30</f>
        <v>12099.75</v>
      </c>
      <c r="G34" s="149">
        <f>G18+G22+G26+G30</f>
        <v>12099.75</v>
      </c>
      <c r="H34" s="149">
        <f>H18+H22+H26+H30</f>
        <v>12099.75</v>
      </c>
      <c r="I34" s="4"/>
      <c r="J34" s="4"/>
      <c r="K34" s="4"/>
      <c r="L34" s="4"/>
    </row>
    <row r="35" spans="2:12" ht="18" customHeight="1" x14ac:dyDescent="0.2">
      <c r="B35" s="19" t="s">
        <v>12</v>
      </c>
      <c r="C35" s="68">
        <f>C34/C33</f>
        <v>0.22</v>
      </c>
      <c r="D35" s="68">
        <f>D34/D33</f>
        <v>0.21606792887468249</v>
      </c>
      <c r="E35" s="34"/>
      <c r="F35" s="34"/>
      <c r="G35" s="34"/>
      <c r="H35" s="34"/>
      <c r="I35" s="4"/>
      <c r="J35" s="4"/>
      <c r="K35" s="4"/>
      <c r="L35" s="4"/>
    </row>
    <row r="36" spans="2:12" ht="18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8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18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18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8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18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18" customHeight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18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18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18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18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s="146" customFormat="1" ht="30" customHeight="1" x14ac:dyDescent="0.2"/>
    <row r="48" spans="2:12" ht="18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ht="18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18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8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18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8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8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8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8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8" customHeigh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18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8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8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ht="18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8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8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18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8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8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8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8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8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8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8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8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8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8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ht="18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ht="18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ht="18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ht="18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ht="18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ht="18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8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8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ht="18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ht="18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18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ht="18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ht="18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8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ht="18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ht="18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ht="18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ht="18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ht="18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2" ht="18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 ht="18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12" ht="18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ht="18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ht="18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18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18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ht="18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8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18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2" ht="18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8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2:12" ht="18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2" ht="18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2" ht="18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2:12" ht="18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18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2:12" ht="18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2:12" ht="18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ht="18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ht="18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ht="18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ht="18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ht="18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ht="18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ht="18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ht="18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ht="18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 ht="18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ht="18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 ht="18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 ht="18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2:12" ht="18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2:12" ht="18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ht="18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18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ht="18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ht="18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 ht="18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ht="18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ht="18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ht="18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ht="18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ht="18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ht="18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ht="18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ht="18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 ht="18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 ht="18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 ht="18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ht="18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ht="18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 ht="18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 ht="18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 ht="18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 ht="18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 ht="18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ht="18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ht="18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ht="18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ht="18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ht="18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ht="18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ht="18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 ht="18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 ht="18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 ht="18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 ht="18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 ht="18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 ht="18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 ht="18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 ht="18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 ht="18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 ht="18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 ht="18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 ht="18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 ht="18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 ht="18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 ht="18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 ht="18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 ht="18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ht="18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 ht="18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 ht="18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 ht="18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 ht="18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 ht="18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 ht="18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 ht="18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 ht="18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8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 ht="18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 ht="18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 ht="18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 ht="18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 ht="18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 ht="18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 ht="18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ht="18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ht="18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ht="18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ht="18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ht="18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ht="18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ht="18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ht="18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ht="18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ht="18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ht="18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ht="18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ht="18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ht="18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ht="18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ht="18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ht="18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ht="18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ht="18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ht="18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ht="18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ht="18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ht="18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ht="18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ht="18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ht="18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ht="18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ht="18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ht="18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ht="18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ht="18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ht="18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ht="18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ht="18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ht="18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 ht="18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 ht="18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 ht="18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 ht="18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 ht="18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 ht="18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 ht="18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 ht="18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 ht="18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 ht="18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 ht="18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 ht="18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 ht="18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ht="18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 ht="18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 ht="18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 ht="18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 ht="18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 ht="18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 ht="18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 ht="18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 ht="18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 ht="18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 ht="18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 ht="18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 ht="18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ht="18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 ht="18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 ht="18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 ht="18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 ht="18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 ht="18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 ht="18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 ht="18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 ht="18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 ht="18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 ht="18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 ht="18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 ht="18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 ht="18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 ht="18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2:12" ht="18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2:12" ht="18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2:12" ht="18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2:12" ht="18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2:12" ht="18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2:12" ht="18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2:12" ht="18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2:12" ht="18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2:12" ht="18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2:12" ht="18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2" ht="18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2:12" ht="18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 ht="18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2:12" ht="18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2:12" ht="18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2:12" ht="18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2:12" ht="18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2:12" ht="18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2:12" ht="18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2:12" ht="18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2:12" ht="18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2:12" ht="18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 ht="18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2:12" ht="18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2:12" ht="18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2" ht="18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2" ht="18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2" ht="18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2:12" ht="18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2:12" ht="18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2:12" ht="18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2:12" ht="18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2:12" ht="18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2:12" ht="18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2:12" ht="18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2:12" ht="18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2:12" ht="18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2:12" ht="18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2:12" ht="18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2:12" ht="18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2:12" ht="18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2:12" ht="18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2:12" ht="18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2:12" ht="18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2:12" ht="18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2:12" ht="18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2:12" ht="18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2:12" ht="18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2:12" ht="18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2:12" ht="18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2" ht="18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2:12" ht="18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2:12" ht="18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2:12" ht="18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2:12" ht="18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2:12" ht="18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2:12" ht="18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2:12" ht="18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2:12" ht="18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 ht="18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2:12" ht="18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2:12" ht="18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2:12" ht="18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2:12" ht="18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2:12" ht="18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2:12" ht="18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2:12" ht="18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2:12" ht="18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2:12" ht="18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2:12" ht="18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2:12" ht="18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2" ht="18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2" ht="18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2" ht="18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2:12" ht="18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2:12" ht="18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2:12" ht="18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2:12" ht="18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2:12" ht="18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2:12" ht="18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2:12" ht="18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2:12" ht="18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2:12" ht="18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2:12" ht="18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2:12" ht="18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2:12" ht="18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2:12" ht="18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2:12" ht="18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2" ht="18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2:12" ht="18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2:12" ht="18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2:12" ht="18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2:12" ht="18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2:12" ht="18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2:12" ht="18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2:12" ht="18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 ht="18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2:12" ht="18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2:12" ht="18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2:12" ht="18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2:12" ht="18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2:12" ht="18" customHeight="1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2:12" ht="18" customHeight="1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2:12" ht="18" customHeight="1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2:12" ht="18" customHeight="1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2:12" ht="18" customHeight="1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2:12" ht="18" customHeight="1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2:12" ht="18" customHeight="1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2:12" ht="18" customHeight="1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2:12" ht="18" customHeight="1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2:12" ht="18" customHeight="1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2:12" ht="18" customHeight="1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2:12" ht="18" customHeight="1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2:12" ht="18" customHeight="1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2:12" ht="18" customHeight="1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2:12" ht="18" customHeight="1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2:12" ht="18" customHeight="1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2:12" ht="18" customHeight="1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2:12" ht="18" customHeight="1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2:12" ht="18" customHeight="1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2:12" ht="18" customHeight="1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2:12" ht="18" customHeight="1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2:12" ht="18" customHeight="1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2:12" ht="18" customHeight="1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2:12" ht="18" customHeight="1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2:12" ht="18" customHeight="1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2:12" ht="18" customHeight="1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2:12" ht="18" customHeight="1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2:12" ht="18" customHeight="1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2:12" ht="18" customHeight="1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2:12" ht="18" customHeight="1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2:12" ht="18" customHeight="1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2" ht="18" customHeight="1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 ht="18" customHeight="1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2" ht="18" customHeight="1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2:12" ht="18" customHeight="1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2:12" ht="18" customHeight="1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2:12" ht="18" customHeight="1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2:12" ht="18" customHeight="1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2:12" ht="18" customHeight="1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2:12" ht="18" customHeight="1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2:12" ht="18" customHeight="1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2:12" ht="18" customHeight="1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2:12" ht="18" customHeight="1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2:12" ht="18" customHeight="1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2:12" ht="18" customHeight="1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2" ht="18" customHeight="1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2:12" ht="18" customHeight="1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2:12" ht="18" customHeight="1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2:12" ht="18" customHeight="1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2:12" ht="18" customHeight="1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2:12" ht="18" customHeight="1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2:12" ht="18" customHeight="1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2:12" ht="18" customHeight="1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2:12" ht="18" customHeight="1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2:12" ht="18" customHeight="1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2:12" ht="18" customHeight="1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2:12" ht="18" customHeight="1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2:12" ht="18" customHeight="1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2:12" ht="18" customHeight="1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2:12" ht="18" customHeight="1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2:12" ht="18" customHeight="1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2:12" ht="18" customHeight="1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2:12" ht="18" customHeight="1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2:12" ht="18" customHeight="1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2:12" ht="18" customHeight="1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2:12" ht="18" customHeight="1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2:12" ht="18" customHeight="1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2:12" ht="18" customHeight="1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 ht="18" customHeight="1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2:12" ht="18" customHeight="1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2:12" ht="18" customHeight="1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2:12" ht="18" customHeight="1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2:12" ht="18" customHeight="1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2:12" ht="18" customHeight="1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2:12" ht="18" customHeight="1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2:12" ht="18" customHeight="1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2:12" ht="18" customHeight="1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2:12" ht="18" customHeight="1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2:12" ht="18" customHeight="1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2:12" ht="18" customHeight="1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2:12" ht="18" customHeight="1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2:12" ht="18" customHeight="1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2:12" ht="18" customHeight="1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2:12" ht="18" customHeight="1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2:12" ht="18" customHeight="1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2:12" ht="18" customHeight="1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2:12" ht="18" customHeight="1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2:12" ht="18" customHeight="1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2:12" ht="18" customHeight="1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2:12" ht="18" customHeight="1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2" ht="18" customHeight="1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2" ht="18" customHeight="1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2" ht="18" customHeight="1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2:12" ht="18" customHeight="1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2:12" ht="18" customHeight="1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2:12" ht="18" customHeight="1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2:12" ht="18" customHeight="1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2:12" ht="18" customHeight="1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2:12" ht="18" customHeight="1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2:12" ht="18" customHeight="1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2:12" ht="18" customHeight="1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2:12" ht="18" customHeight="1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2:12" ht="18" customHeight="1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2:12" ht="18" customHeight="1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2:12" ht="18" customHeight="1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2" ht="18" customHeight="1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2:12" ht="18" customHeight="1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2:12" ht="18" customHeight="1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2:12" ht="18" customHeight="1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</sheetData>
  <mergeCells count="4">
    <mergeCell ref="A1:XFD1"/>
    <mergeCell ref="D14:H14"/>
    <mergeCell ref="B14:B15"/>
    <mergeCell ref="C14:C15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&amp;R&amp;"Arial,Itálico"&amp;12Planejamento Empresarial e Orçamentário</oddHeader>
    <oddFooter xml:space="preserve">&amp;R&amp;"Arial,Itálico"&amp;11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showRowColHeaders="0" workbookViewId="0">
      <pane ySplit="1" topLeftCell="A14" activePane="bottomLeft" state="frozen"/>
      <selection pane="bottomLeft" activeCell="C11" sqref="C11"/>
    </sheetView>
  </sheetViews>
  <sheetFormatPr defaultColWidth="11.42578125" defaultRowHeight="18" customHeight="1" x14ac:dyDescent="0.2"/>
  <cols>
    <col min="1" max="1" width="2.85546875" style="1" customWidth="1"/>
    <col min="2" max="2" width="28.5703125" style="1" customWidth="1"/>
    <col min="3" max="3" width="11.42578125" style="1" customWidth="1"/>
    <col min="4" max="5" width="14.7109375" style="1" bestFit="1" customWidth="1"/>
    <col min="6" max="9" width="13.28515625" style="1" bestFit="1" customWidth="1"/>
    <col min="10" max="16384" width="11.42578125" style="1"/>
  </cols>
  <sheetData>
    <row r="1" spans="1:10" s="188" customFormat="1" ht="52.5" customHeight="1" thickBot="1" x14ac:dyDescent="0.25">
      <c r="A1" s="188" t="s">
        <v>222</v>
      </c>
    </row>
    <row r="2" spans="1:10" ht="18" customHeight="1" thickTop="1" x14ac:dyDescent="0.2"/>
    <row r="3" spans="1:10" ht="22.5" customHeight="1" x14ac:dyDescent="0.2">
      <c r="B3" s="3" t="s">
        <v>186</v>
      </c>
    </row>
    <row r="5" spans="1:10" ht="18" customHeight="1" x14ac:dyDescent="0.2">
      <c r="B5" s="71" t="s">
        <v>229</v>
      </c>
      <c r="C5" s="4"/>
      <c r="D5" s="4"/>
      <c r="E5" s="4"/>
      <c r="F5" s="4"/>
      <c r="G5" s="4"/>
      <c r="H5" s="4"/>
      <c r="I5" s="4"/>
      <c r="J5" s="4"/>
    </row>
    <row r="6" spans="1:10" ht="18" customHeight="1" x14ac:dyDescent="0.2">
      <c r="B6" s="71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B7" s="199"/>
      <c r="C7" s="199"/>
      <c r="D7" s="147" t="s">
        <v>1</v>
      </c>
      <c r="E7" s="32" t="s">
        <v>2</v>
      </c>
      <c r="F7" s="32" t="s">
        <v>3</v>
      </c>
      <c r="G7" s="32" t="s">
        <v>4</v>
      </c>
      <c r="H7" s="4"/>
      <c r="I7" s="4"/>
      <c r="J7" s="4"/>
    </row>
    <row r="8" spans="1:10" ht="18" customHeight="1" x14ac:dyDescent="0.2">
      <c r="B8" s="191" t="s">
        <v>230</v>
      </c>
      <c r="C8" s="191"/>
      <c r="D8" s="75">
        <v>0</v>
      </c>
      <c r="E8" s="73">
        <v>-0.16700000000000001</v>
      </c>
      <c r="F8" s="23">
        <v>0</v>
      </c>
      <c r="G8" s="23">
        <v>0</v>
      </c>
      <c r="H8" s="4"/>
      <c r="I8" s="4"/>
      <c r="J8" s="4"/>
    </row>
    <row r="9" spans="1:10" ht="18" customHeight="1" x14ac:dyDescent="0.2">
      <c r="B9" s="4"/>
      <c r="C9" s="4"/>
      <c r="D9" s="6"/>
      <c r="E9" s="64"/>
      <c r="F9" s="6"/>
      <c r="G9" s="6"/>
      <c r="H9" s="4"/>
      <c r="I9" s="4"/>
      <c r="J9" s="4"/>
    </row>
    <row r="10" spans="1:10" ht="18" customHeight="1" x14ac:dyDescent="0.2">
      <c r="B10" s="37" t="s">
        <v>33</v>
      </c>
      <c r="C10" s="73">
        <v>0.14499999999999999</v>
      </c>
      <c r="D10" s="6"/>
      <c r="E10" s="197" t="s">
        <v>91</v>
      </c>
      <c r="F10" s="197"/>
      <c r="G10" s="73">
        <v>2.6499999999999999E-2</v>
      </c>
      <c r="H10" s="4"/>
      <c r="J10" s="4"/>
    </row>
    <row r="11" spans="1:10" ht="18" customHeight="1" x14ac:dyDescent="0.2">
      <c r="B11" s="37" t="s">
        <v>165</v>
      </c>
      <c r="C11" s="73">
        <v>0.01</v>
      </c>
      <c r="D11" s="6"/>
      <c r="E11" s="198" t="s">
        <v>92</v>
      </c>
      <c r="F11" s="198"/>
      <c r="G11" s="73">
        <v>1.4999999999999999E-2</v>
      </c>
      <c r="H11" s="4"/>
      <c r="I11" s="4"/>
      <c r="J11" s="4"/>
    </row>
    <row r="12" spans="1:10" ht="18" customHeight="1" x14ac:dyDescent="0.2">
      <c r="B12" s="4"/>
      <c r="C12" s="4"/>
      <c r="D12" s="4"/>
      <c r="E12" s="4"/>
      <c r="F12" s="4"/>
      <c r="G12" s="4"/>
      <c r="H12" s="4"/>
      <c r="J12" s="4"/>
    </row>
    <row r="13" spans="1:10" ht="18" customHeight="1" x14ac:dyDescent="0.2">
      <c r="B13" s="4"/>
      <c r="C13" s="4"/>
      <c r="D13" s="4"/>
      <c r="E13" s="4"/>
      <c r="F13" s="4"/>
      <c r="G13" s="4"/>
      <c r="H13" s="4"/>
      <c r="I13" s="64"/>
      <c r="J13" s="4"/>
    </row>
    <row r="14" spans="1:10" ht="18" customHeight="1" x14ac:dyDescent="0.2">
      <c r="B14" s="71" t="s">
        <v>297</v>
      </c>
      <c r="C14" s="4"/>
      <c r="D14" s="4"/>
      <c r="E14" s="4"/>
      <c r="F14" s="4"/>
      <c r="G14" s="4"/>
      <c r="H14" s="4"/>
      <c r="I14" s="4"/>
      <c r="J14" s="4"/>
    </row>
    <row r="15" spans="1:10" ht="18" customHeight="1" x14ac:dyDescent="0.2">
      <c r="B15" s="4"/>
      <c r="C15" s="4"/>
      <c r="D15" s="4"/>
      <c r="E15" s="4"/>
      <c r="F15" s="4"/>
      <c r="G15" s="4"/>
      <c r="H15" s="4"/>
      <c r="I15" s="4"/>
      <c r="J15" s="4"/>
    </row>
    <row r="16" spans="1:10" ht="18" customHeight="1" x14ac:dyDescent="0.2">
      <c r="B16" s="200" t="s">
        <v>185</v>
      </c>
      <c r="C16" s="201"/>
      <c r="D16" s="195" t="s">
        <v>7</v>
      </c>
      <c r="E16" s="194" t="s">
        <v>8</v>
      </c>
      <c r="F16" s="194"/>
      <c r="G16" s="194"/>
      <c r="H16" s="194"/>
      <c r="I16" s="194"/>
      <c r="J16" s="4"/>
    </row>
    <row r="17" spans="2:10" ht="18" customHeight="1" x14ac:dyDescent="0.2">
      <c r="B17" s="202"/>
      <c r="C17" s="203"/>
      <c r="D17" s="196"/>
      <c r="E17" s="70" t="s">
        <v>15</v>
      </c>
      <c r="F17" s="70" t="s">
        <v>268</v>
      </c>
      <c r="G17" s="70" t="s">
        <v>267</v>
      </c>
      <c r="H17" s="70" t="s">
        <v>266</v>
      </c>
      <c r="I17" s="70" t="s">
        <v>265</v>
      </c>
      <c r="J17" s="4"/>
    </row>
    <row r="18" spans="2:10" ht="18" customHeight="1" x14ac:dyDescent="0.2">
      <c r="B18" s="78" t="s">
        <v>1</v>
      </c>
      <c r="C18" s="79"/>
      <c r="D18" s="79"/>
      <c r="E18" s="79"/>
      <c r="F18" s="79"/>
      <c r="G18" s="79"/>
      <c r="H18" s="79"/>
      <c r="I18" s="80"/>
      <c r="J18" s="4"/>
    </row>
    <row r="19" spans="2:10" ht="18" customHeight="1" x14ac:dyDescent="0.2">
      <c r="B19" s="191" t="s">
        <v>255</v>
      </c>
      <c r="C19" s="191"/>
      <c r="D19" s="17">
        <f>'Plano de vendas'!C18</f>
        <v>5000</v>
      </c>
      <c r="E19" s="17">
        <f>'Plano de vendas'!D18</f>
        <v>6400</v>
      </c>
      <c r="F19" s="17">
        <f>'Plano de vendas'!E18</f>
        <v>1600</v>
      </c>
      <c r="G19" s="17">
        <f>'Plano de vendas'!F18</f>
        <v>1600</v>
      </c>
      <c r="H19" s="17">
        <f>'Plano de vendas'!G18</f>
        <v>1600</v>
      </c>
      <c r="I19" s="17">
        <f>'Plano de vendas'!H18</f>
        <v>1600</v>
      </c>
      <c r="J19" s="4"/>
    </row>
    <row r="20" spans="2:10" ht="18" customHeight="1" x14ac:dyDescent="0.2">
      <c r="B20" s="192" t="s">
        <v>256</v>
      </c>
      <c r="C20" s="192"/>
      <c r="D20" s="149">
        <v>25</v>
      </c>
      <c r="E20" s="149">
        <f>D20*(1+D8)</f>
        <v>25</v>
      </c>
      <c r="F20" s="149">
        <f>$E20</f>
        <v>25</v>
      </c>
      <c r="G20" s="149">
        <f>$E20</f>
        <v>25</v>
      </c>
      <c r="H20" s="149">
        <f>$E20</f>
        <v>25</v>
      </c>
      <c r="I20" s="149">
        <f>$E20</f>
        <v>25</v>
      </c>
      <c r="J20" s="4" t="s">
        <v>87</v>
      </c>
    </row>
    <row r="21" spans="2:10" ht="18" customHeight="1" x14ac:dyDescent="0.2">
      <c r="B21" s="191" t="s">
        <v>257</v>
      </c>
      <c r="C21" s="191"/>
      <c r="D21" s="148">
        <f t="shared" ref="D21:I21" si="0">D20*D19</f>
        <v>125000</v>
      </c>
      <c r="E21" s="148">
        <f t="shared" si="0"/>
        <v>160000</v>
      </c>
      <c r="F21" s="148">
        <f t="shared" si="0"/>
        <v>40000</v>
      </c>
      <c r="G21" s="148">
        <f t="shared" si="0"/>
        <v>40000</v>
      </c>
      <c r="H21" s="148">
        <f t="shared" si="0"/>
        <v>40000</v>
      </c>
      <c r="I21" s="148">
        <f t="shared" si="0"/>
        <v>40000</v>
      </c>
      <c r="J21" s="4"/>
    </row>
    <row r="22" spans="2:10" ht="18" customHeight="1" x14ac:dyDescent="0.2">
      <c r="B22" s="78" t="s">
        <v>2</v>
      </c>
      <c r="C22" s="79"/>
      <c r="D22" s="79"/>
      <c r="E22" s="79"/>
      <c r="F22" s="79"/>
      <c r="G22" s="79"/>
      <c r="H22" s="79"/>
      <c r="I22" s="80"/>
      <c r="J22" s="4"/>
    </row>
    <row r="23" spans="2:10" ht="18" customHeight="1" x14ac:dyDescent="0.2">
      <c r="B23" s="191" t="s">
        <v>255</v>
      </c>
      <c r="C23" s="191"/>
      <c r="D23" s="17">
        <f>'Plano de vendas'!C22</f>
        <v>20000</v>
      </c>
      <c r="E23" s="17">
        <f>'Plano de vendas'!D22</f>
        <v>22000</v>
      </c>
      <c r="F23" s="17">
        <f>'Plano de vendas'!E22</f>
        <v>5500</v>
      </c>
      <c r="G23" s="17">
        <f>'Plano de vendas'!F22</f>
        <v>5500</v>
      </c>
      <c r="H23" s="17">
        <f>'Plano de vendas'!G22</f>
        <v>5500</v>
      </c>
      <c r="I23" s="17">
        <f>'Plano de vendas'!H22</f>
        <v>5500</v>
      </c>
      <c r="J23" s="4"/>
    </row>
    <row r="24" spans="2:10" ht="18" customHeight="1" x14ac:dyDescent="0.2">
      <c r="B24" s="192" t="s">
        <v>256</v>
      </c>
      <c r="C24" s="192"/>
      <c r="D24" s="149">
        <v>30</v>
      </c>
      <c r="E24" s="149">
        <f>D24*(1+E8)</f>
        <v>24.99</v>
      </c>
      <c r="F24" s="149">
        <f>$E24</f>
        <v>24.99</v>
      </c>
      <c r="G24" s="149">
        <f>$E24</f>
        <v>24.99</v>
      </c>
      <c r="H24" s="149">
        <f>$E24</f>
        <v>24.99</v>
      </c>
      <c r="I24" s="149">
        <f>$E24</f>
        <v>24.99</v>
      </c>
      <c r="J24" s="4"/>
    </row>
    <row r="25" spans="2:10" ht="18" customHeight="1" x14ac:dyDescent="0.2">
      <c r="B25" s="191" t="s">
        <v>257</v>
      </c>
      <c r="C25" s="191"/>
      <c r="D25" s="148">
        <f t="shared" ref="D25:I25" si="1">D24*D23</f>
        <v>600000</v>
      </c>
      <c r="E25" s="148">
        <f t="shared" si="1"/>
        <v>549780</v>
      </c>
      <c r="F25" s="148">
        <f t="shared" si="1"/>
        <v>137445</v>
      </c>
      <c r="G25" s="148">
        <f t="shared" si="1"/>
        <v>137445</v>
      </c>
      <c r="H25" s="148">
        <f t="shared" si="1"/>
        <v>137445</v>
      </c>
      <c r="I25" s="148">
        <f t="shared" si="1"/>
        <v>137445</v>
      </c>
      <c r="J25" s="4"/>
    </row>
    <row r="26" spans="2:10" ht="18" customHeight="1" x14ac:dyDescent="0.2">
      <c r="B26" s="78" t="s">
        <v>3</v>
      </c>
      <c r="C26" s="79"/>
      <c r="D26" s="79"/>
      <c r="E26" s="79"/>
      <c r="F26" s="79"/>
      <c r="G26" s="79"/>
      <c r="H26" s="79"/>
      <c r="I26" s="80"/>
      <c r="J26" s="4"/>
    </row>
    <row r="27" spans="2:10" ht="18" customHeight="1" x14ac:dyDescent="0.2">
      <c r="B27" s="191" t="s">
        <v>255</v>
      </c>
      <c r="C27" s="191"/>
      <c r="D27" s="17">
        <f>'Plano de vendas'!C26</f>
        <v>15000</v>
      </c>
      <c r="E27" s="17">
        <f>'Plano de vendas'!D26</f>
        <v>15999</v>
      </c>
      <c r="F27" s="17">
        <f>'Plano de vendas'!E26</f>
        <v>3999.75</v>
      </c>
      <c r="G27" s="17">
        <f>'Plano de vendas'!F26</f>
        <v>3999.75</v>
      </c>
      <c r="H27" s="17">
        <f>'Plano de vendas'!G26</f>
        <v>3999.75</v>
      </c>
      <c r="I27" s="17">
        <f>'Plano de vendas'!H26</f>
        <v>3999.75</v>
      </c>
      <c r="J27" s="4"/>
    </row>
    <row r="28" spans="2:10" ht="18" customHeight="1" x14ac:dyDescent="0.2">
      <c r="B28" s="192" t="s">
        <v>256</v>
      </c>
      <c r="C28" s="192"/>
      <c r="D28" s="149">
        <v>23</v>
      </c>
      <c r="E28" s="149">
        <f>D28*(1+F8)</f>
        <v>23</v>
      </c>
      <c r="F28" s="149">
        <f>$E28</f>
        <v>23</v>
      </c>
      <c r="G28" s="149">
        <f>$E28</f>
        <v>23</v>
      </c>
      <c r="H28" s="149">
        <f>$E28</f>
        <v>23</v>
      </c>
      <c r="I28" s="149">
        <f>$E28</f>
        <v>23</v>
      </c>
      <c r="J28" s="4"/>
    </row>
    <row r="29" spans="2:10" ht="18" customHeight="1" x14ac:dyDescent="0.2">
      <c r="B29" s="191" t="s">
        <v>257</v>
      </c>
      <c r="C29" s="191"/>
      <c r="D29" s="148">
        <f t="shared" ref="D29:I29" si="2">D28*D27</f>
        <v>345000</v>
      </c>
      <c r="E29" s="148">
        <f t="shared" si="2"/>
        <v>367977</v>
      </c>
      <c r="F29" s="148">
        <f t="shared" si="2"/>
        <v>91994.25</v>
      </c>
      <c r="G29" s="148">
        <f t="shared" si="2"/>
        <v>91994.25</v>
      </c>
      <c r="H29" s="148">
        <f t="shared" si="2"/>
        <v>91994.25</v>
      </c>
      <c r="I29" s="148">
        <f t="shared" si="2"/>
        <v>91994.25</v>
      </c>
      <c r="J29" s="152"/>
    </row>
    <row r="30" spans="2:10" ht="18" customHeight="1" x14ac:dyDescent="0.2">
      <c r="B30" s="78" t="s">
        <v>4</v>
      </c>
      <c r="C30" s="79"/>
      <c r="D30" s="79"/>
      <c r="E30" s="79"/>
      <c r="F30" s="79"/>
      <c r="G30" s="79"/>
      <c r="H30" s="79"/>
      <c r="I30" s="80"/>
      <c r="J30" s="4"/>
    </row>
    <row r="31" spans="2:10" ht="18" customHeight="1" x14ac:dyDescent="0.2">
      <c r="B31" s="191" t="s">
        <v>255</v>
      </c>
      <c r="C31" s="191"/>
      <c r="D31" s="17">
        <f>'Plano de vendas'!C30</f>
        <v>4000</v>
      </c>
      <c r="E31" s="17">
        <f>'Plano de vendas'!D30</f>
        <v>4000</v>
      </c>
      <c r="F31" s="17">
        <f>'Plano de vendas'!E30</f>
        <v>1000</v>
      </c>
      <c r="G31" s="17">
        <f>'Plano de vendas'!F30</f>
        <v>1000</v>
      </c>
      <c r="H31" s="17">
        <f>'Plano de vendas'!G30</f>
        <v>1000</v>
      </c>
      <c r="I31" s="17">
        <f>'Plano de vendas'!H30</f>
        <v>1000</v>
      </c>
      <c r="J31" s="4"/>
    </row>
    <row r="32" spans="2:10" ht="18" customHeight="1" x14ac:dyDescent="0.2">
      <c r="B32" s="192" t="s">
        <v>256</v>
      </c>
      <c r="C32" s="192"/>
      <c r="D32" s="149">
        <v>20</v>
      </c>
      <c r="E32" s="149">
        <f>D32*(1+G8)</f>
        <v>20</v>
      </c>
      <c r="F32" s="149">
        <f>$E32</f>
        <v>20</v>
      </c>
      <c r="G32" s="149">
        <f>$E32</f>
        <v>20</v>
      </c>
      <c r="H32" s="149">
        <f>$E32</f>
        <v>20</v>
      </c>
      <c r="I32" s="149">
        <f>$E32</f>
        <v>20</v>
      </c>
      <c r="J32" s="4"/>
    </row>
    <row r="33" spans="2:10" ht="18" customHeight="1" x14ac:dyDescent="0.2">
      <c r="B33" s="191" t="s">
        <v>257</v>
      </c>
      <c r="C33" s="191"/>
      <c r="D33" s="148">
        <f t="shared" ref="D33:I33" si="3">D32*D31</f>
        <v>80000</v>
      </c>
      <c r="E33" s="148">
        <f t="shared" si="3"/>
        <v>80000</v>
      </c>
      <c r="F33" s="148">
        <f t="shared" si="3"/>
        <v>20000</v>
      </c>
      <c r="G33" s="148">
        <f t="shared" si="3"/>
        <v>20000</v>
      </c>
      <c r="H33" s="148">
        <f t="shared" si="3"/>
        <v>20000</v>
      </c>
      <c r="I33" s="148">
        <f t="shared" si="3"/>
        <v>20000</v>
      </c>
      <c r="J33" s="4"/>
    </row>
    <row r="34" spans="2:10" ht="18" customHeight="1" x14ac:dyDescent="0.2">
      <c r="B34" s="78" t="s">
        <v>15</v>
      </c>
      <c r="C34" s="79"/>
      <c r="D34" s="79" t="s">
        <v>0</v>
      </c>
      <c r="E34" s="79"/>
      <c r="F34" s="79"/>
      <c r="G34" s="79"/>
      <c r="H34" s="79"/>
      <c r="I34" s="80"/>
      <c r="J34" s="4"/>
    </row>
    <row r="35" spans="2:10" ht="18" customHeight="1" x14ac:dyDescent="0.2">
      <c r="B35" s="191" t="s">
        <v>255</v>
      </c>
      <c r="C35" s="191"/>
      <c r="D35" s="17">
        <f t="shared" ref="D35:I35" si="4">D19+D23+D27+D31</f>
        <v>44000</v>
      </c>
      <c r="E35" s="17">
        <f t="shared" si="4"/>
        <v>48399</v>
      </c>
      <c r="F35" s="17">
        <f t="shared" si="4"/>
        <v>12099.75</v>
      </c>
      <c r="G35" s="17">
        <f t="shared" si="4"/>
        <v>12099.75</v>
      </c>
      <c r="H35" s="17">
        <f t="shared" si="4"/>
        <v>12099.75</v>
      </c>
      <c r="I35" s="17">
        <f t="shared" si="4"/>
        <v>12099.75</v>
      </c>
      <c r="J35" s="4"/>
    </row>
    <row r="36" spans="2:10" ht="18" customHeight="1" x14ac:dyDescent="0.2">
      <c r="B36" s="192" t="s">
        <v>256</v>
      </c>
      <c r="C36" s="192"/>
      <c r="D36" s="77">
        <f t="shared" ref="D36:I36" si="5">D37/D35</f>
        <v>26.136363636363637</v>
      </c>
      <c r="E36" s="77">
        <f t="shared" si="5"/>
        <v>23.921093411020887</v>
      </c>
      <c r="F36" s="77">
        <f t="shared" si="5"/>
        <v>23.921093411020887</v>
      </c>
      <c r="G36" s="77">
        <f t="shared" si="5"/>
        <v>23.921093411020887</v>
      </c>
      <c r="H36" s="77">
        <f t="shared" si="5"/>
        <v>23.921093411020887</v>
      </c>
      <c r="I36" s="77">
        <f t="shared" si="5"/>
        <v>23.921093411020887</v>
      </c>
      <c r="J36" s="4"/>
    </row>
    <row r="37" spans="2:10" ht="18" customHeight="1" x14ac:dyDescent="0.2">
      <c r="B37" s="191" t="s">
        <v>257</v>
      </c>
      <c r="C37" s="191"/>
      <c r="D37" s="148">
        <f t="shared" ref="D37:I37" si="6">D21+D25+D29+D33</f>
        <v>1150000</v>
      </c>
      <c r="E37" s="148">
        <f t="shared" si="6"/>
        <v>1157757</v>
      </c>
      <c r="F37" s="148">
        <f t="shared" si="6"/>
        <v>289439.25</v>
      </c>
      <c r="G37" s="148">
        <f t="shared" si="6"/>
        <v>289439.25</v>
      </c>
      <c r="H37" s="148">
        <f t="shared" si="6"/>
        <v>289439.25</v>
      </c>
      <c r="I37" s="148">
        <f t="shared" si="6"/>
        <v>289439.25</v>
      </c>
      <c r="J37" s="4"/>
    </row>
    <row r="38" spans="2:10" ht="18" customHeight="1" x14ac:dyDescent="0.2">
      <c r="B38" s="192" t="s">
        <v>259</v>
      </c>
      <c r="C38" s="192"/>
      <c r="D38" s="149"/>
      <c r="E38" s="149">
        <f>F38+G38+H38+I38</f>
        <v>1186991.8143406424</v>
      </c>
      <c r="F38" s="149">
        <f>F37*(1+$C$11)</f>
        <v>292333.64250000002</v>
      </c>
      <c r="G38" s="149">
        <f>F38*(1+$C$11)</f>
        <v>295256.978925</v>
      </c>
      <c r="H38" s="149">
        <f>G38*(1+$C$11)</f>
        <v>298209.54871424998</v>
      </c>
      <c r="I38" s="149">
        <f>H38*(1+$C$11)</f>
        <v>301191.64420139248</v>
      </c>
      <c r="J38" s="4"/>
    </row>
    <row r="39" spans="2:10" ht="18" customHeight="1" x14ac:dyDescent="0.2">
      <c r="B39" s="191" t="s">
        <v>258</v>
      </c>
      <c r="C39" s="191"/>
      <c r="D39" s="148"/>
      <c r="E39" s="150">
        <f>E38/(1-$C$10-$G$10)</f>
        <v>1432699.8362590736</v>
      </c>
      <c r="F39" s="150">
        <f>F38/(1-$C$10-$G$10)</f>
        <v>352846.88292094145</v>
      </c>
      <c r="G39" s="150">
        <f>G38/(1-$C$10-$G$10)</f>
        <v>356375.35175015085</v>
      </c>
      <c r="H39" s="150">
        <f>H38/(1-$C$10-$G$10)</f>
        <v>359939.10526765237</v>
      </c>
      <c r="I39" s="150">
        <f>I38/(1-$C$10-$G$10)</f>
        <v>363538.49632032891</v>
      </c>
      <c r="J39" s="4"/>
    </row>
    <row r="40" spans="2:10" ht="18" customHeight="1" x14ac:dyDescent="0.2">
      <c r="B40" s="192" t="s">
        <v>260</v>
      </c>
      <c r="C40" s="192"/>
      <c r="D40" s="149"/>
      <c r="E40" s="151">
        <f>E39*(1+$G$11)</f>
        <v>1454190.3338029596</v>
      </c>
      <c r="F40" s="151">
        <f>F39*(1+$G$11)</f>
        <v>358139.58616475551</v>
      </c>
      <c r="G40" s="151">
        <f>G39*(1+$G$11)</f>
        <v>361720.98202640307</v>
      </c>
      <c r="H40" s="151">
        <f>H39*(1+$G$11)</f>
        <v>365338.19184666709</v>
      </c>
      <c r="I40" s="151">
        <f>I39*(1+$G$11)</f>
        <v>368991.5737651338</v>
      </c>
      <c r="J40" s="4"/>
    </row>
    <row r="41" spans="2:10" ht="18" customHeight="1" x14ac:dyDescent="0.2">
      <c r="B41" s="191" t="s">
        <v>140</v>
      </c>
      <c r="C41" s="191"/>
      <c r="D41" s="148"/>
      <c r="E41" s="148">
        <f>E40-E39</f>
        <v>21490.497543886071</v>
      </c>
      <c r="F41" s="148">
        <f>F40-F39</f>
        <v>5292.7032438140595</v>
      </c>
      <c r="G41" s="148">
        <f>G40-G39</f>
        <v>5345.6302762522246</v>
      </c>
      <c r="H41" s="148">
        <f>H40-H39</f>
        <v>5399.0865790147218</v>
      </c>
      <c r="I41" s="148">
        <f>I40-I39</f>
        <v>5453.0774448048905</v>
      </c>
      <c r="J41" s="4"/>
    </row>
    <row r="42" spans="2:10" ht="18" customHeight="1" x14ac:dyDescent="0.2">
      <c r="B42" s="192" t="s">
        <v>261</v>
      </c>
      <c r="C42" s="192"/>
      <c r="D42" s="149"/>
      <c r="E42" s="149">
        <f>E40*0.1715</f>
        <v>249393.64224720761</v>
      </c>
      <c r="F42" s="149">
        <f>F40*0.1715</f>
        <v>61420.939027255576</v>
      </c>
      <c r="G42" s="149">
        <f>G40*0.1715</f>
        <v>62035.148417528129</v>
      </c>
      <c r="H42" s="149">
        <f>H40*0.1715</f>
        <v>62655.499901703413</v>
      </c>
      <c r="I42" s="149">
        <f>I40*0.1715</f>
        <v>63282.054900720454</v>
      </c>
      <c r="J42" s="4"/>
    </row>
    <row r="43" spans="2:10" ht="18" customHeight="1" x14ac:dyDescent="0.2">
      <c r="B43" s="191" t="s">
        <v>161</v>
      </c>
      <c r="C43" s="191"/>
      <c r="D43" s="148" t="s">
        <v>0</v>
      </c>
      <c r="E43" s="148">
        <f>E40*$C$10</f>
        <v>210857.59840142913</v>
      </c>
      <c r="F43" s="148">
        <f>F40*$C$10</f>
        <v>51930.239993889547</v>
      </c>
      <c r="G43" s="148">
        <f>G40*$C$10</f>
        <v>52449.542393828444</v>
      </c>
      <c r="H43" s="148">
        <f>H40*$C$10</f>
        <v>52974.037817766723</v>
      </c>
      <c r="I43" s="148">
        <f>I40*$C$10</f>
        <v>53503.778195944396</v>
      </c>
      <c r="J43" s="4"/>
    </row>
    <row r="44" spans="2:10" ht="18" customHeight="1" x14ac:dyDescent="0.2">
      <c r="B44" s="192" t="s">
        <v>205</v>
      </c>
      <c r="C44" s="192"/>
      <c r="D44" s="149"/>
      <c r="E44" s="149">
        <f>E42-E43</f>
        <v>38536.043845778477</v>
      </c>
      <c r="F44" s="149">
        <f>F42-F43</f>
        <v>9490.6990333660287</v>
      </c>
      <c r="G44" s="149">
        <f>G42-G43</f>
        <v>9585.6060236996855</v>
      </c>
      <c r="H44" s="149">
        <f>H42-H43</f>
        <v>9681.4620839366908</v>
      </c>
      <c r="I44" s="149">
        <f>I42-I43</f>
        <v>9778.2767047760572</v>
      </c>
      <c r="J44" s="4"/>
    </row>
    <row r="45" spans="2:10" ht="18" customHeight="1" x14ac:dyDescent="0.2">
      <c r="B45" s="4"/>
      <c r="C45" s="4"/>
      <c r="D45" s="4"/>
      <c r="E45" s="65"/>
      <c r="F45" s="65"/>
      <c r="G45" s="65"/>
      <c r="H45" s="65"/>
      <c r="I45" s="65"/>
      <c r="J45" s="4"/>
    </row>
    <row r="46" spans="2:10" ht="18" customHeight="1" x14ac:dyDescent="0.2">
      <c r="B46" s="72" t="s">
        <v>272</v>
      </c>
      <c r="C46" s="4"/>
      <c r="D46" s="4"/>
      <c r="E46" s="4"/>
      <c r="F46" s="4"/>
      <c r="G46" s="4"/>
      <c r="H46" s="4"/>
      <c r="I46" s="4"/>
      <c r="J46" s="4"/>
    </row>
    <row r="47" spans="2:10" ht="18" customHeight="1" x14ac:dyDescent="0.2">
      <c r="B47" s="72" t="s">
        <v>273</v>
      </c>
      <c r="C47" s="4"/>
      <c r="D47" s="4"/>
      <c r="E47" s="4"/>
      <c r="F47" s="4"/>
      <c r="G47" s="4"/>
      <c r="H47" s="4"/>
      <c r="I47" s="4"/>
      <c r="J47" s="4"/>
    </row>
    <row r="48" spans="2:10" ht="18" customHeight="1" x14ac:dyDescent="0.2">
      <c r="B48" s="72" t="s">
        <v>274</v>
      </c>
      <c r="C48" s="4"/>
      <c r="D48" s="4"/>
      <c r="E48" s="4"/>
      <c r="F48" s="4"/>
      <c r="G48" s="4"/>
      <c r="H48" s="4"/>
      <c r="I48" s="4"/>
      <c r="J48" s="4"/>
    </row>
    <row r="49" spans="2:10" ht="18" customHeight="1" x14ac:dyDescent="0.2">
      <c r="B49" s="72"/>
      <c r="C49" s="4"/>
      <c r="D49" s="4"/>
      <c r="E49" s="4"/>
      <c r="F49" s="4"/>
      <c r="G49" s="4"/>
      <c r="H49" s="4"/>
      <c r="I49" s="4"/>
      <c r="J49" s="4"/>
    </row>
    <row r="59" spans="2:10" s="146" customFormat="1" ht="30" customHeight="1" x14ac:dyDescent="0.2"/>
  </sheetData>
  <mergeCells count="30">
    <mergeCell ref="B33:C33"/>
    <mergeCell ref="B32:C32"/>
    <mergeCell ref="B7:C7"/>
    <mergeCell ref="D16:D17"/>
    <mergeCell ref="B16:C17"/>
    <mergeCell ref="B31:C31"/>
    <mergeCell ref="B19:C19"/>
    <mergeCell ref="B20:C20"/>
    <mergeCell ref="B21:C21"/>
    <mergeCell ref="B23:C23"/>
    <mergeCell ref="B24:C24"/>
    <mergeCell ref="B25:C25"/>
    <mergeCell ref="B27:C27"/>
    <mergeCell ref="B28:C28"/>
    <mergeCell ref="B29:C2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A1:XFD1"/>
    <mergeCell ref="E16:I16"/>
    <mergeCell ref="B8:C8"/>
    <mergeCell ref="E10:F10"/>
    <mergeCell ref="E11:F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&amp;R&amp;"Arial,Itálico"&amp;12Planejamento Empresarial e Orçamento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40.85546875" style="1" customWidth="1"/>
    <col min="3" max="16384" width="11.42578125" style="1"/>
  </cols>
  <sheetData>
    <row r="1" spans="1:8" s="188" customFormat="1" ht="52.5" customHeight="1" thickBot="1" x14ac:dyDescent="0.25">
      <c r="A1" s="188" t="s">
        <v>222</v>
      </c>
    </row>
    <row r="2" spans="1:8" ht="18" customHeight="1" thickTop="1" x14ac:dyDescent="0.2"/>
    <row r="3" spans="1:8" ht="22.5" customHeight="1" x14ac:dyDescent="0.2">
      <c r="B3" s="3" t="s">
        <v>17</v>
      </c>
    </row>
    <row r="5" spans="1:8" ht="18" customHeight="1" x14ac:dyDescent="0.2">
      <c r="B5" s="4"/>
      <c r="C5" s="4"/>
      <c r="D5" s="4"/>
      <c r="E5" s="4"/>
    </row>
    <row r="6" spans="1:8" ht="18" customHeight="1" x14ac:dyDescent="0.2">
      <c r="B6" s="71" t="s">
        <v>229</v>
      </c>
      <c r="C6" s="4"/>
      <c r="D6" s="4"/>
      <c r="E6" s="4"/>
    </row>
    <row r="7" spans="1:8" ht="18" customHeight="1" x14ac:dyDescent="0.2">
      <c r="B7" s="4"/>
      <c r="C7" s="4"/>
      <c r="D7" s="4"/>
      <c r="E7" s="4"/>
    </row>
    <row r="8" spans="1:8" ht="18" customHeight="1" x14ac:dyDescent="0.2">
      <c r="B8" s="4"/>
      <c r="C8" s="127" t="s">
        <v>7</v>
      </c>
      <c r="D8" s="127" t="s">
        <v>8</v>
      </c>
      <c r="E8" s="4"/>
    </row>
    <row r="9" spans="1:8" ht="18" customHeight="1" x14ac:dyDescent="0.2">
      <c r="B9" s="34" t="s">
        <v>16</v>
      </c>
      <c r="C9" s="34">
        <v>40.9</v>
      </c>
      <c r="D9" s="34">
        <v>35</v>
      </c>
      <c r="E9" s="4"/>
    </row>
    <row r="10" spans="1:8" ht="18" customHeight="1" x14ac:dyDescent="0.2">
      <c r="B10" s="12" t="s">
        <v>23</v>
      </c>
      <c r="C10" s="12"/>
      <c r="D10" s="153">
        <v>17</v>
      </c>
      <c r="E10" s="4"/>
    </row>
    <row r="13" spans="1:8" ht="18" customHeight="1" x14ac:dyDescent="0.2">
      <c r="B13" s="71" t="s">
        <v>17</v>
      </c>
    </row>
    <row r="15" spans="1:8" ht="18" customHeight="1" x14ac:dyDescent="0.2">
      <c r="B15" s="201" t="s">
        <v>287</v>
      </c>
      <c r="C15" s="195" t="s">
        <v>7</v>
      </c>
      <c r="D15" s="194" t="s">
        <v>8</v>
      </c>
      <c r="E15" s="194"/>
      <c r="F15" s="194"/>
      <c r="G15" s="194"/>
      <c r="H15" s="194"/>
    </row>
    <row r="16" spans="1:8" ht="18" customHeight="1" x14ac:dyDescent="0.2">
      <c r="B16" s="203"/>
      <c r="C16" s="196"/>
      <c r="D16" s="70" t="s">
        <v>15</v>
      </c>
      <c r="E16" s="70" t="s">
        <v>268</v>
      </c>
      <c r="F16" s="70" t="s">
        <v>267</v>
      </c>
      <c r="G16" s="70" t="s">
        <v>266</v>
      </c>
      <c r="H16" s="70" t="s">
        <v>265</v>
      </c>
    </row>
    <row r="17" spans="2:9" ht="18" customHeight="1" x14ac:dyDescent="0.2">
      <c r="B17" s="34"/>
      <c r="C17" s="34"/>
      <c r="D17" s="36"/>
      <c r="E17" s="36"/>
      <c r="F17" s="36"/>
      <c r="G17" s="36"/>
      <c r="H17" s="36"/>
    </row>
    <row r="18" spans="2:9" ht="18" customHeight="1" x14ac:dyDescent="0.2">
      <c r="B18" s="20" t="s">
        <v>18</v>
      </c>
      <c r="C18" s="18">
        <f>'Plano de vendas'!C34</f>
        <v>44000</v>
      </c>
      <c r="D18" s="18">
        <f>'Plano de vendas'!D34</f>
        <v>48399</v>
      </c>
      <c r="E18" s="18">
        <f>'Plano de vendas'!E34</f>
        <v>12099.75</v>
      </c>
      <c r="F18" s="18">
        <f>'Plano de vendas'!F34</f>
        <v>12099.75</v>
      </c>
      <c r="G18" s="18">
        <f>'Plano de vendas'!G34</f>
        <v>12099.75</v>
      </c>
      <c r="H18" s="18">
        <f>'Plano de vendas'!H34</f>
        <v>12099.75</v>
      </c>
      <c r="I18" s="4"/>
    </row>
    <row r="19" spans="2:9" ht="18" customHeight="1" x14ac:dyDescent="0.2">
      <c r="B19" s="19"/>
      <c r="C19" s="34"/>
      <c r="D19" s="34"/>
      <c r="E19" s="34"/>
      <c r="F19" s="34"/>
      <c r="G19" s="34"/>
      <c r="H19" s="34"/>
      <c r="I19" s="4"/>
    </row>
    <row r="20" spans="2:9" ht="18" customHeight="1" x14ac:dyDescent="0.2">
      <c r="B20" s="20" t="s">
        <v>262</v>
      </c>
      <c r="C20" s="18">
        <v>5000</v>
      </c>
      <c r="D20" s="18">
        <f>C20</f>
        <v>5000</v>
      </c>
      <c r="E20" s="18">
        <f>C21</f>
        <v>4999.8888888888887</v>
      </c>
      <c r="F20" s="69">
        <f>E21</f>
        <v>4705.458333333333</v>
      </c>
      <c r="G20" s="69">
        <f>F21</f>
        <v>4705.458333333333</v>
      </c>
      <c r="H20" s="69">
        <f>G21</f>
        <v>4705.458333333333</v>
      </c>
      <c r="I20" s="4"/>
    </row>
    <row r="21" spans="2:9" ht="18" customHeight="1" x14ac:dyDescent="0.2">
      <c r="B21" s="19" t="s">
        <v>263</v>
      </c>
      <c r="C21" s="76">
        <f>C18/360*C9+1</f>
        <v>4999.8888888888887</v>
      </c>
      <c r="D21" s="76">
        <f>H21</f>
        <v>4705.458333333333</v>
      </c>
      <c r="E21" s="76">
        <f>(E18/90)*$D9</f>
        <v>4705.458333333333</v>
      </c>
      <c r="F21" s="76">
        <f>(F18/90)*$D9</f>
        <v>4705.458333333333</v>
      </c>
      <c r="G21" s="76">
        <f>(G18/90)*$D9</f>
        <v>4705.458333333333</v>
      </c>
      <c r="H21" s="76">
        <f>(H18/90)*$D9</f>
        <v>4705.458333333333</v>
      </c>
      <c r="I21" s="4"/>
    </row>
    <row r="22" spans="2:9" ht="18" customHeight="1" x14ac:dyDescent="0.2">
      <c r="B22" s="20"/>
      <c r="C22" s="35"/>
      <c r="D22" s="35"/>
      <c r="E22" s="35"/>
      <c r="F22" s="35"/>
      <c r="G22" s="35"/>
      <c r="H22" s="35"/>
      <c r="I22" s="4"/>
    </row>
    <row r="23" spans="2:9" ht="18" customHeight="1" x14ac:dyDescent="0.2">
      <c r="B23" s="19" t="s">
        <v>19</v>
      </c>
      <c r="C23" s="17">
        <v>44000</v>
      </c>
      <c r="D23" s="17">
        <f>E23+F23+G23+H23</f>
        <v>47004.819444444445</v>
      </c>
      <c r="E23" s="34">
        <f>C23/4</f>
        <v>11000</v>
      </c>
      <c r="F23" s="17">
        <f>E23+E24</f>
        <v>11805.319444444445</v>
      </c>
      <c r="G23" s="17">
        <f>F23+F24</f>
        <v>12099.75</v>
      </c>
      <c r="H23" s="17">
        <f>G23+G24</f>
        <v>12099.75</v>
      </c>
      <c r="I23" s="4"/>
    </row>
    <row r="24" spans="2:9" ht="18" customHeight="1" x14ac:dyDescent="0.2">
      <c r="B24" s="20" t="s">
        <v>20</v>
      </c>
      <c r="C24" s="18">
        <f>C28-C23</f>
        <v>-0.11111111110949423</v>
      </c>
      <c r="D24" s="18">
        <f>D28-D23</f>
        <v>1099.6388888888905</v>
      </c>
      <c r="E24" s="18">
        <f>IF(E23&gt;E28,0,IF(E28&gt;E23,E28-E23,IF(E28-E23,0,0)))</f>
        <v>805.31944444444525</v>
      </c>
      <c r="F24" s="18">
        <f>IF(F23&gt;F28,0,IF(F28&gt;F23,F28-F23,IF(F28-F23,0,0)))</f>
        <v>294.43055555555475</v>
      </c>
      <c r="G24" s="18">
        <f>IF(G23&gt;G28,0,IF(G28&gt;G23,G28-G23,IF(G28-G23,0,0)))</f>
        <v>0</v>
      </c>
      <c r="H24" s="18">
        <f>IF(H23&gt;H28,0,IF(H28&gt;H23,H28-H23,IF(H28-H23,0,0)))</f>
        <v>0</v>
      </c>
      <c r="I24" s="4"/>
    </row>
    <row r="25" spans="2:9" ht="18" customHeight="1" x14ac:dyDescent="0.2">
      <c r="B25" s="19"/>
      <c r="C25" s="34"/>
      <c r="D25" s="34"/>
      <c r="E25" s="34"/>
      <c r="F25" s="34"/>
      <c r="G25" s="34"/>
      <c r="H25" s="34"/>
      <c r="I25" s="4"/>
    </row>
    <row r="26" spans="2:9" ht="18" customHeight="1" x14ac:dyDescent="0.2">
      <c r="B26" s="20" t="s">
        <v>21</v>
      </c>
      <c r="C26" s="35"/>
      <c r="D26" s="35"/>
      <c r="E26" s="35"/>
      <c r="F26" s="35"/>
      <c r="G26" s="35"/>
      <c r="H26" s="35"/>
      <c r="I26" s="4"/>
    </row>
    <row r="27" spans="2:9" ht="18" customHeight="1" x14ac:dyDescent="0.2">
      <c r="B27" s="19"/>
      <c r="C27" s="34"/>
      <c r="D27" s="34"/>
      <c r="E27" s="34"/>
      <c r="F27" s="34"/>
      <c r="G27" s="34"/>
      <c r="H27" s="34"/>
      <c r="I27" s="4"/>
    </row>
    <row r="28" spans="2:9" ht="18" customHeight="1" x14ac:dyDescent="0.2">
      <c r="B28" s="20" t="s">
        <v>264</v>
      </c>
      <c r="C28" s="18">
        <f t="shared" ref="C28:H28" si="0">C21-C20+C18</f>
        <v>43999.888888888891</v>
      </c>
      <c r="D28" s="18">
        <f t="shared" si="0"/>
        <v>48104.458333333336</v>
      </c>
      <c r="E28" s="18">
        <f t="shared" si="0"/>
        <v>11805.319444444445</v>
      </c>
      <c r="F28" s="18">
        <f t="shared" si="0"/>
        <v>12099.75</v>
      </c>
      <c r="G28" s="18">
        <f t="shared" si="0"/>
        <v>12099.75</v>
      </c>
      <c r="H28" s="18">
        <f t="shared" si="0"/>
        <v>12099.75</v>
      </c>
      <c r="I28" s="4"/>
    </row>
    <row r="29" spans="2:9" ht="18" customHeight="1" x14ac:dyDescent="0.2">
      <c r="B29" s="19"/>
      <c r="C29" s="34"/>
      <c r="D29" s="34"/>
      <c r="E29" s="34"/>
      <c r="F29" s="34"/>
      <c r="G29" s="34"/>
      <c r="H29" s="34"/>
      <c r="I29" s="4"/>
    </row>
    <row r="30" spans="2:9" ht="18" customHeight="1" x14ac:dyDescent="0.2">
      <c r="B30" s="60" t="s">
        <v>22</v>
      </c>
      <c r="C30" s="154"/>
      <c r="D30" s="154"/>
      <c r="E30" s="154">
        <f>D10*E24</f>
        <v>13690.430555555569</v>
      </c>
      <c r="F30" s="154">
        <f>D10*F24</f>
        <v>5005.3194444444307</v>
      </c>
      <c r="G30" s="154"/>
      <c r="H30" s="154"/>
      <c r="I30" s="4"/>
    </row>
    <row r="31" spans="2:9" ht="18" customHeight="1" x14ac:dyDescent="0.2">
      <c r="B31" s="4"/>
      <c r="C31" s="4"/>
      <c r="D31" s="4"/>
      <c r="E31" s="4"/>
      <c r="F31" s="4"/>
      <c r="G31" s="4"/>
      <c r="H31" s="4"/>
      <c r="I31" s="4"/>
    </row>
    <row r="32" spans="2:9" ht="18" customHeight="1" x14ac:dyDescent="0.2">
      <c r="B32" s="128" t="s">
        <v>190</v>
      </c>
      <c r="C32" s="4"/>
      <c r="D32" s="4"/>
      <c r="E32" s="4"/>
      <c r="F32" s="4"/>
      <c r="G32" s="4"/>
      <c r="H32" s="4"/>
      <c r="I32" s="4"/>
    </row>
    <row r="33" spans="2:9" ht="18" customHeight="1" x14ac:dyDescent="0.2">
      <c r="B33" s="72" t="s">
        <v>269</v>
      </c>
      <c r="C33" s="4"/>
      <c r="D33" s="4"/>
      <c r="E33" s="4"/>
      <c r="F33" s="4"/>
      <c r="G33" s="4"/>
      <c r="H33" s="4"/>
      <c r="I33" s="4"/>
    </row>
    <row r="34" spans="2:9" ht="18" customHeight="1" x14ac:dyDescent="0.2">
      <c r="B34" s="72" t="s">
        <v>270</v>
      </c>
      <c r="C34" s="4"/>
      <c r="D34" s="4"/>
      <c r="E34" s="4"/>
      <c r="F34" s="4"/>
      <c r="G34" s="4"/>
      <c r="H34" s="4"/>
      <c r="I34" s="4"/>
    </row>
    <row r="35" spans="2:9" ht="18" customHeight="1" x14ac:dyDescent="0.2">
      <c r="B35" s="72" t="s">
        <v>191</v>
      </c>
      <c r="C35" s="4"/>
      <c r="D35" s="4"/>
      <c r="E35" s="4"/>
      <c r="F35" s="4"/>
      <c r="G35" s="4"/>
      <c r="H35" s="4"/>
      <c r="I35" s="4"/>
    </row>
    <row r="36" spans="2:9" ht="18" customHeight="1" x14ac:dyDescent="0.2">
      <c r="B36" s="72" t="s">
        <v>271</v>
      </c>
      <c r="C36" s="4"/>
      <c r="D36" s="4"/>
      <c r="E36" s="4"/>
      <c r="F36" s="4"/>
      <c r="G36" s="4"/>
      <c r="H36" s="4"/>
      <c r="I36" s="4"/>
    </row>
    <row r="37" spans="2:9" ht="18" customHeight="1" x14ac:dyDescent="0.2">
      <c r="B37" s="4"/>
      <c r="C37" s="4"/>
      <c r="D37" s="4"/>
      <c r="E37" s="4"/>
      <c r="F37" s="4"/>
      <c r="G37" s="4"/>
      <c r="H37" s="4"/>
      <c r="I37" s="4"/>
    </row>
    <row r="38" spans="2:9" ht="18" customHeight="1" x14ac:dyDescent="0.2">
      <c r="B38" s="4"/>
      <c r="C38" s="4"/>
      <c r="D38" s="4"/>
      <c r="E38" s="4"/>
      <c r="F38" s="4"/>
      <c r="G38" s="4"/>
      <c r="H38" s="4"/>
      <c r="I38" s="4"/>
    </row>
    <row r="39" spans="2:9" ht="18" customHeight="1" x14ac:dyDescent="0.2">
      <c r="B39" s="4"/>
      <c r="C39" s="4"/>
      <c r="D39" s="4"/>
      <c r="E39" s="4"/>
      <c r="F39" s="4"/>
      <c r="G39" s="4"/>
      <c r="H39" s="4"/>
      <c r="I39" s="4"/>
    </row>
    <row r="40" spans="2:9" ht="18" customHeight="1" x14ac:dyDescent="0.2">
      <c r="B40" s="4"/>
      <c r="C40" s="4"/>
      <c r="D40" s="4"/>
      <c r="E40" s="4"/>
      <c r="F40" s="4"/>
      <c r="G40" s="4"/>
      <c r="H40" s="4"/>
      <c r="I40" s="4"/>
    </row>
    <row r="48" spans="2:9" s="146" customFormat="1" ht="30" customHeight="1" x14ac:dyDescent="0.2"/>
  </sheetData>
  <mergeCells count="4">
    <mergeCell ref="A1:XFD1"/>
    <mergeCell ref="D15:H15"/>
    <mergeCell ref="B15:B16"/>
    <mergeCell ref="C15:C16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4" width="11.42578125" style="1" customWidth="1"/>
    <col min="5" max="5" width="11.42578125" style="1"/>
    <col min="6" max="6" width="11.7109375" style="1" customWidth="1"/>
    <col min="7" max="16384" width="11.42578125" style="1"/>
  </cols>
  <sheetData>
    <row r="1" spans="1:12" s="188" customFormat="1" ht="52.5" customHeight="1" thickBot="1" x14ac:dyDescent="0.25">
      <c r="A1" s="188" t="s">
        <v>222</v>
      </c>
    </row>
    <row r="2" spans="1:12" ht="18" customHeight="1" thickTop="1" x14ac:dyDescent="0.2"/>
    <row r="3" spans="1:12" ht="22.5" customHeight="1" x14ac:dyDescent="0.2">
      <c r="B3" s="3" t="s">
        <v>187</v>
      </c>
    </row>
    <row r="6" spans="1:12" ht="18" customHeight="1" x14ac:dyDescent="0.2">
      <c r="B6" s="71" t="s">
        <v>231</v>
      </c>
    </row>
    <row r="8" spans="1:12" ht="18" customHeight="1" x14ac:dyDescent="0.2">
      <c r="B8" s="204" t="s">
        <v>280</v>
      </c>
      <c r="C8" s="205"/>
      <c r="D8" s="4"/>
      <c r="E8" s="190" t="s">
        <v>33</v>
      </c>
      <c r="F8" s="190"/>
      <c r="G8" s="23">
        <v>0.18</v>
      </c>
    </row>
    <row r="9" spans="1:12" ht="18" customHeight="1" x14ac:dyDescent="0.2">
      <c r="B9" s="19" t="s">
        <v>275</v>
      </c>
      <c r="C9" s="34">
        <v>0.75</v>
      </c>
      <c r="D9" s="4"/>
      <c r="E9" s="190" t="s">
        <v>34</v>
      </c>
      <c r="F9" s="190"/>
      <c r="G9" s="74">
        <v>1.4999999999999999E-2</v>
      </c>
      <c r="H9" s="4"/>
      <c r="I9" s="4"/>
      <c r="J9" s="4"/>
      <c r="K9" s="4"/>
      <c r="L9" s="4"/>
    </row>
    <row r="10" spans="1:12" ht="18" customHeight="1" x14ac:dyDescent="0.2">
      <c r="B10" s="20" t="s">
        <v>276</v>
      </c>
      <c r="C10" s="35">
        <v>0.2</v>
      </c>
      <c r="D10" s="4"/>
      <c r="E10" s="190" t="s">
        <v>35</v>
      </c>
      <c r="F10" s="190"/>
      <c r="G10" s="34">
        <v>30</v>
      </c>
      <c r="H10" s="4"/>
      <c r="I10" s="4"/>
      <c r="J10" s="4"/>
      <c r="K10" s="4"/>
      <c r="L10" s="4"/>
    </row>
    <row r="11" spans="1:12" ht="18" customHeight="1" x14ac:dyDescent="0.2">
      <c r="B11" s="4"/>
      <c r="C11" s="4"/>
      <c r="D11" s="4"/>
      <c r="H11" s="4"/>
      <c r="I11" s="4"/>
      <c r="J11" s="4"/>
      <c r="K11" s="4"/>
      <c r="L11" s="4"/>
    </row>
    <row r="12" spans="1:12" ht="18" customHeight="1" x14ac:dyDescent="0.2">
      <c r="B12" s="4"/>
      <c r="C12" s="4"/>
      <c r="D12" s="4"/>
      <c r="E12" s="206" t="s">
        <v>278</v>
      </c>
      <c r="F12" s="204"/>
      <c r="G12" s="205"/>
      <c r="H12" s="4"/>
      <c r="I12" s="4"/>
      <c r="J12" s="4"/>
      <c r="K12" s="4"/>
      <c r="L12" s="4"/>
    </row>
    <row r="13" spans="1:12" ht="18" customHeight="1" x14ac:dyDescent="0.2">
      <c r="B13" s="204" t="s">
        <v>277</v>
      </c>
      <c r="C13" s="205"/>
      <c r="D13" s="4"/>
      <c r="E13" s="191" t="s">
        <v>24</v>
      </c>
      <c r="F13" s="191"/>
      <c r="G13" s="34">
        <v>10</v>
      </c>
      <c r="H13" s="4"/>
      <c r="I13" s="4"/>
      <c r="J13" s="4"/>
      <c r="K13" s="4"/>
      <c r="L13" s="4"/>
    </row>
    <row r="14" spans="1:12" ht="18" customHeight="1" x14ac:dyDescent="0.2">
      <c r="B14" s="19" t="s">
        <v>24</v>
      </c>
      <c r="C14" s="34">
        <v>15</v>
      </c>
      <c r="D14" s="4"/>
      <c r="E14" s="192" t="s">
        <v>232</v>
      </c>
      <c r="F14" s="192"/>
      <c r="G14" s="35">
        <v>5</v>
      </c>
      <c r="H14" s="4"/>
      <c r="I14" s="4"/>
      <c r="J14" s="4"/>
      <c r="K14" s="4"/>
      <c r="L14" s="4"/>
    </row>
    <row r="15" spans="1:12" ht="18" customHeight="1" x14ac:dyDescent="0.2">
      <c r="B15" s="20" t="s">
        <v>25</v>
      </c>
      <c r="C15" s="35">
        <v>70</v>
      </c>
      <c r="D15" s="4"/>
      <c r="E15" s="191" t="s">
        <v>36</v>
      </c>
      <c r="F15" s="191"/>
      <c r="G15" s="23">
        <v>0.01</v>
      </c>
      <c r="H15" s="4"/>
      <c r="I15" s="4"/>
      <c r="J15" s="4"/>
      <c r="K15" s="4"/>
      <c r="L15" s="4"/>
    </row>
    <row r="16" spans="1:12" ht="18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18" customHeigh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ht="18" customHeight="1" x14ac:dyDescent="0.2">
      <c r="B18" s="71" t="s">
        <v>279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18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18" customHeight="1" x14ac:dyDescent="0.2">
      <c r="B20" s="201" t="s">
        <v>241</v>
      </c>
      <c r="C20" s="207" t="s">
        <v>8</v>
      </c>
      <c r="D20" s="208"/>
      <c r="E20" s="208"/>
      <c r="F20" s="208"/>
      <c r="G20" s="209"/>
      <c r="J20" s="4"/>
      <c r="K20" s="4"/>
      <c r="L20" s="4"/>
    </row>
    <row r="21" spans="2:12" ht="18" customHeight="1" x14ac:dyDescent="0.2">
      <c r="B21" s="203"/>
      <c r="C21" s="70" t="s">
        <v>15</v>
      </c>
      <c r="D21" s="70" t="s">
        <v>268</v>
      </c>
      <c r="E21" s="70" t="s">
        <v>267</v>
      </c>
      <c r="F21" s="70" t="s">
        <v>266</v>
      </c>
      <c r="G21" s="70" t="s">
        <v>265</v>
      </c>
      <c r="J21" s="4"/>
      <c r="K21" s="4"/>
      <c r="L21" s="4"/>
    </row>
    <row r="22" spans="2:12" ht="18" customHeight="1" x14ac:dyDescent="0.2">
      <c r="B22" s="19" t="s">
        <v>29</v>
      </c>
      <c r="C22" s="17">
        <f>'Plano de produção'!D28</f>
        <v>48104.458333333336</v>
      </c>
      <c r="D22" s="17">
        <f>'Plano de produção'!E28</f>
        <v>11805.319444444445</v>
      </c>
      <c r="E22" s="17">
        <f>'Plano de produção'!F28</f>
        <v>12099.75</v>
      </c>
      <c r="F22" s="17">
        <f>'Plano de produção'!G28</f>
        <v>12099.75</v>
      </c>
      <c r="G22" s="17">
        <f>'Plano de produção'!H28</f>
        <v>12099.75</v>
      </c>
      <c r="J22" s="4"/>
      <c r="K22" s="4"/>
      <c r="L22" s="4"/>
    </row>
    <row r="23" spans="2:12" ht="18" customHeight="1" x14ac:dyDescent="0.2">
      <c r="B23" s="78" t="s">
        <v>26</v>
      </c>
      <c r="C23" s="155"/>
      <c r="D23" s="155"/>
      <c r="E23" s="155"/>
      <c r="F23" s="155"/>
      <c r="G23" s="156"/>
      <c r="J23" s="4"/>
      <c r="K23" s="4"/>
      <c r="L23" s="4"/>
    </row>
    <row r="24" spans="2:12" ht="18" customHeight="1" x14ac:dyDescent="0.2">
      <c r="B24" s="19" t="s">
        <v>27</v>
      </c>
      <c r="C24" s="17">
        <v>2000</v>
      </c>
      <c r="D24" s="17">
        <v>2000</v>
      </c>
      <c r="E24" s="17">
        <f>D27</f>
        <v>1475.6649305555557</v>
      </c>
      <c r="F24" s="17">
        <f>E27</f>
        <v>1512.46875</v>
      </c>
      <c r="G24" s="17">
        <f>F27</f>
        <v>1512.46875</v>
      </c>
      <c r="J24" s="4"/>
      <c r="K24" s="4"/>
      <c r="L24" s="4"/>
    </row>
    <row r="25" spans="2:12" ht="18" customHeight="1" x14ac:dyDescent="0.2">
      <c r="B25" s="20" t="s">
        <v>28</v>
      </c>
      <c r="C25" s="18">
        <f>D25+E25+F25+G25</f>
        <v>35590.895833333336</v>
      </c>
      <c r="D25" s="18">
        <f>D27-D24+D26</f>
        <v>8329.6545138888905</v>
      </c>
      <c r="E25" s="18">
        <f>E27-E24+E26</f>
        <v>9111.6163194444453</v>
      </c>
      <c r="F25" s="18">
        <f>F27-F24+F26</f>
        <v>9074.8125</v>
      </c>
      <c r="G25" s="18">
        <f>G27-G24+G26</f>
        <v>9074.8125</v>
      </c>
      <c r="J25" s="4"/>
      <c r="K25" s="4"/>
      <c r="L25" s="4"/>
    </row>
    <row r="26" spans="2:12" ht="18" customHeight="1" x14ac:dyDescent="0.2">
      <c r="B26" s="19" t="s">
        <v>30</v>
      </c>
      <c r="C26" s="17">
        <f>D26+E26+F26+G26</f>
        <v>36078.427083333336</v>
      </c>
      <c r="D26" s="17">
        <f>D22*$C9</f>
        <v>8853.9895833333339</v>
      </c>
      <c r="E26" s="17">
        <f>E22*$C9</f>
        <v>9074.8125</v>
      </c>
      <c r="F26" s="17">
        <f>F22*$C9</f>
        <v>9074.8125</v>
      </c>
      <c r="G26" s="17">
        <f>G22*$C9</f>
        <v>9074.8125</v>
      </c>
      <c r="J26" s="4"/>
      <c r="K26" s="4"/>
      <c r="L26" s="4"/>
    </row>
    <row r="27" spans="2:12" ht="18" customHeight="1" x14ac:dyDescent="0.2">
      <c r="B27" s="20" t="s">
        <v>192</v>
      </c>
      <c r="C27" s="18">
        <f>C24+C25-C26</f>
        <v>1512.46875</v>
      </c>
      <c r="D27" s="18">
        <f>D26/90*$C14</f>
        <v>1475.6649305555557</v>
      </c>
      <c r="E27" s="18">
        <f>E26/90*$C14</f>
        <v>1512.46875</v>
      </c>
      <c r="F27" s="18">
        <f>F26/90*$C14</f>
        <v>1512.46875</v>
      </c>
      <c r="G27" s="18">
        <f>G26/90*$C14</f>
        <v>1512.46875</v>
      </c>
      <c r="J27" s="4"/>
      <c r="K27" s="4"/>
      <c r="L27" s="4"/>
    </row>
    <row r="28" spans="2:12" ht="18" customHeight="1" x14ac:dyDescent="0.2">
      <c r="B28" s="78" t="s">
        <v>31</v>
      </c>
      <c r="C28" s="155"/>
      <c r="D28" s="155"/>
      <c r="E28" s="155"/>
      <c r="F28" s="155"/>
      <c r="G28" s="156"/>
      <c r="J28" s="4"/>
      <c r="K28" s="4"/>
      <c r="L28" s="4"/>
    </row>
    <row r="29" spans="2:12" ht="18" customHeight="1" x14ac:dyDescent="0.2">
      <c r="B29" s="19" t="s">
        <v>27</v>
      </c>
      <c r="C29" s="17">
        <v>500</v>
      </c>
      <c r="D29" s="17">
        <v>500</v>
      </c>
      <c r="E29" s="17">
        <f>D32</f>
        <v>1836.3830246913585</v>
      </c>
      <c r="F29" s="17">
        <f>E32</f>
        <v>1882.1833333333334</v>
      </c>
      <c r="G29" s="17">
        <f>F32</f>
        <v>1882.1833333333334</v>
      </c>
      <c r="J29" s="4"/>
      <c r="K29" s="4"/>
      <c r="L29" s="110" t="s">
        <v>237</v>
      </c>
    </row>
    <row r="30" spans="2:12" ht="18" customHeight="1" x14ac:dyDescent="0.2">
      <c r="B30" s="20" t="s">
        <v>28</v>
      </c>
      <c r="C30" s="18">
        <f>D30+E30+F30+G30</f>
        <v>11003.097222222224</v>
      </c>
      <c r="D30" s="18">
        <f>D32-D29+D31</f>
        <v>3697.4469135802478</v>
      </c>
      <c r="E30" s="18">
        <f>E32-E29+E31</f>
        <v>2465.7503086419752</v>
      </c>
      <c r="F30" s="18">
        <f>F32-F29+F31</f>
        <v>2419.9500000000003</v>
      </c>
      <c r="G30" s="18">
        <f>G32-G29+G31</f>
        <v>2419.9500000000003</v>
      </c>
      <c r="J30" s="4"/>
      <c r="K30" s="4"/>
      <c r="L30" s="4"/>
    </row>
    <row r="31" spans="2:12" ht="18" customHeight="1" x14ac:dyDescent="0.2">
      <c r="B31" s="19" t="s">
        <v>30</v>
      </c>
      <c r="C31" s="17">
        <f>C22*$C10</f>
        <v>9620.8916666666682</v>
      </c>
      <c r="D31" s="17">
        <f>D22*$C10</f>
        <v>2361.0638888888893</v>
      </c>
      <c r="E31" s="17">
        <f>E22*$C10</f>
        <v>2419.9500000000003</v>
      </c>
      <c r="F31" s="17">
        <f>F22*$C10</f>
        <v>2419.9500000000003</v>
      </c>
      <c r="G31" s="17">
        <f>G22*$C10</f>
        <v>2419.9500000000003</v>
      </c>
      <c r="J31" s="4"/>
      <c r="K31" s="4"/>
      <c r="L31" s="4"/>
    </row>
    <row r="32" spans="2:12" ht="18" customHeight="1" x14ac:dyDescent="0.2">
      <c r="B32" s="60" t="s">
        <v>192</v>
      </c>
      <c r="C32" s="157">
        <f>C29+C30-C31</f>
        <v>1882.2055555555562</v>
      </c>
      <c r="D32" s="157">
        <f>D31/90*$C15</f>
        <v>1836.3830246913585</v>
      </c>
      <c r="E32" s="157">
        <f>E31/90*$C15</f>
        <v>1882.1833333333334</v>
      </c>
      <c r="F32" s="157">
        <f>F31/90*$C15</f>
        <v>1882.1833333333334</v>
      </c>
      <c r="G32" s="157">
        <f>G31/90*$C15</f>
        <v>1882.1833333333334</v>
      </c>
      <c r="J32" s="4"/>
      <c r="K32" s="4"/>
      <c r="L32" s="4"/>
    </row>
    <row r="33" spans="2:12" ht="18" customHeight="1" x14ac:dyDescent="0.2">
      <c r="B33" s="4"/>
      <c r="C33" s="4"/>
      <c r="D33" s="4"/>
      <c r="E33" s="4"/>
      <c r="F33" s="4"/>
      <c r="G33" s="4"/>
      <c r="J33" s="4"/>
      <c r="K33" s="4"/>
      <c r="L33" s="4"/>
    </row>
    <row r="34" spans="2:12" ht="18" customHeight="1" x14ac:dyDescent="0.2">
      <c r="B34" s="4"/>
      <c r="C34" s="4"/>
      <c r="D34" s="4"/>
      <c r="E34" s="4"/>
      <c r="F34" s="4"/>
      <c r="G34" s="4"/>
      <c r="J34" s="4"/>
      <c r="K34" s="4"/>
      <c r="L34" s="4"/>
    </row>
    <row r="35" spans="2:12" ht="18" customHeight="1" x14ac:dyDescent="0.2">
      <c r="B35" s="71" t="s">
        <v>296</v>
      </c>
      <c r="C35" s="4"/>
      <c r="D35" s="4"/>
      <c r="E35" s="4"/>
      <c r="F35" s="4"/>
      <c r="G35" s="4"/>
      <c r="J35" s="4"/>
      <c r="K35" s="4"/>
      <c r="L35" s="4"/>
    </row>
    <row r="36" spans="2:12" ht="18" customHeight="1" x14ac:dyDescent="0.2">
      <c r="B36" s="4"/>
      <c r="C36" s="4"/>
      <c r="D36" s="4"/>
      <c r="E36" s="4"/>
      <c r="F36" s="4"/>
      <c r="G36" s="4"/>
      <c r="J36" s="4"/>
      <c r="K36" s="4"/>
      <c r="L36" s="4"/>
    </row>
    <row r="37" spans="2:12" ht="18" customHeight="1" x14ac:dyDescent="0.2">
      <c r="B37" s="201" t="s">
        <v>295</v>
      </c>
      <c r="C37" s="207" t="s">
        <v>8</v>
      </c>
      <c r="D37" s="208"/>
      <c r="E37" s="208"/>
      <c r="F37" s="208"/>
      <c r="G37" s="209"/>
      <c r="J37" s="4"/>
      <c r="K37" s="4"/>
      <c r="L37" s="4"/>
    </row>
    <row r="38" spans="2:12" ht="18" customHeight="1" x14ac:dyDescent="0.2">
      <c r="B38" s="203"/>
      <c r="C38" s="70" t="s">
        <v>15</v>
      </c>
      <c r="D38" s="70" t="s">
        <v>268</v>
      </c>
      <c r="E38" s="70" t="s">
        <v>267</v>
      </c>
      <c r="F38" s="70" t="s">
        <v>266</v>
      </c>
      <c r="G38" s="70" t="s">
        <v>265</v>
      </c>
      <c r="J38" s="4"/>
      <c r="K38" s="4"/>
      <c r="L38" s="4"/>
    </row>
    <row r="39" spans="2:12" ht="18" customHeight="1" x14ac:dyDescent="0.2">
      <c r="B39" s="78" t="s">
        <v>26</v>
      </c>
      <c r="C39" s="79"/>
      <c r="D39" s="79"/>
      <c r="E39" s="79"/>
      <c r="F39" s="79"/>
      <c r="G39" s="80"/>
      <c r="J39" s="4"/>
      <c r="K39" s="4"/>
      <c r="L39" s="4"/>
    </row>
    <row r="40" spans="2:12" ht="18" customHeight="1" x14ac:dyDescent="0.2">
      <c r="B40" s="19" t="s">
        <v>281</v>
      </c>
      <c r="C40" s="148" t="s">
        <v>0</v>
      </c>
      <c r="D40" s="148">
        <f>G13*(1+$G15)</f>
        <v>10.1</v>
      </c>
      <c r="E40" s="148">
        <f>D40*(1+$G15)</f>
        <v>10.201000000000001</v>
      </c>
      <c r="F40" s="148">
        <f>E40*(1+$G15)</f>
        <v>10.30301</v>
      </c>
      <c r="G40" s="148">
        <f>F40*(1+$G15)</f>
        <v>10.4060401</v>
      </c>
      <c r="J40" s="4"/>
      <c r="K40" s="4"/>
      <c r="L40" s="4"/>
    </row>
    <row r="41" spans="2:12" ht="18" customHeight="1" x14ac:dyDescent="0.2">
      <c r="B41" s="20" t="s">
        <v>282</v>
      </c>
      <c r="C41" s="149"/>
      <c r="D41" s="149">
        <f>D40*(1+$G9)</f>
        <v>10.251499999999998</v>
      </c>
      <c r="E41" s="149">
        <f>E40*(1+$G9)</f>
        <v>10.354014999999999</v>
      </c>
      <c r="F41" s="149">
        <f>F40*(1+$G9)</f>
        <v>10.457555149999999</v>
      </c>
      <c r="G41" s="149">
        <f>G40*(1+$G9)</f>
        <v>10.562130701499999</v>
      </c>
      <c r="J41" s="4"/>
      <c r="K41" s="4"/>
      <c r="L41" s="4"/>
    </row>
    <row r="42" spans="2:12" ht="18" customHeight="1" x14ac:dyDescent="0.2">
      <c r="B42" s="19" t="s">
        <v>283</v>
      </c>
      <c r="C42" s="148">
        <f>D42+E42+F42+G42</f>
        <v>370482.97320616985</v>
      </c>
      <c r="D42" s="148">
        <f>D41*D25</f>
        <v>85391.453249131941</v>
      </c>
      <c r="E42" s="148">
        <f>E41*E25</f>
        <v>94341.81204577256</v>
      </c>
      <c r="F42" s="148">
        <f>F41*F25</f>
        <v>94900.352194659368</v>
      </c>
      <c r="G42" s="148">
        <f>G41*G25</f>
        <v>95849.355716605962</v>
      </c>
      <c r="J42" s="4"/>
      <c r="K42" s="4"/>
      <c r="L42" s="4"/>
    </row>
    <row r="43" spans="2:12" ht="18" customHeight="1" x14ac:dyDescent="0.2">
      <c r="B43" s="20" t="s">
        <v>194</v>
      </c>
      <c r="C43" s="149">
        <f>D43+E43+F43+G43</f>
        <v>66686.935177110572</v>
      </c>
      <c r="D43" s="149">
        <f>D42*$G8</f>
        <v>15370.461584843748</v>
      </c>
      <c r="E43" s="149">
        <f>E42*$G8</f>
        <v>16981.526168239059</v>
      </c>
      <c r="F43" s="149">
        <f>F42*$G8</f>
        <v>17082.063395038687</v>
      </c>
      <c r="G43" s="149">
        <f>G42*$G8</f>
        <v>17252.884028989072</v>
      </c>
      <c r="J43" s="4"/>
      <c r="K43" s="4"/>
      <c r="L43" s="4"/>
    </row>
    <row r="44" spans="2:12" ht="18" customHeight="1" x14ac:dyDescent="0.2">
      <c r="B44" s="19" t="s">
        <v>284</v>
      </c>
      <c r="C44" s="148">
        <f>D44+E44+F44+G44</f>
        <v>303796.0380290593</v>
      </c>
      <c r="D44" s="148">
        <f>D42-D43</f>
        <v>70020.991664288187</v>
      </c>
      <c r="E44" s="148">
        <f>E42-E43</f>
        <v>77360.285877533504</v>
      </c>
      <c r="F44" s="148">
        <f>F42-F43</f>
        <v>77818.288799620685</v>
      </c>
      <c r="G44" s="148">
        <f>G42-G43</f>
        <v>78596.471687616897</v>
      </c>
      <c r="J44" s="4"/>
      <c r="K44" s="4"/>
      <c r="L44" s="4"/>
    </row>
    <row r="45" spans="2:12" ht="18" customHeight="1" x14ac:dyDescent="0.2">
      <c r="B45" s="78" t="s">
        <v>31</v>
      </c>
      <c r="C45" s="158"/>
      <c r="D45" s="158"/>
      <c r="E45" s="158"/>
      <c r="F45" s="158"/>
      <c r="G45" s="159"/>
      <c r="J45" s="4"/>
      <c r="K45" s="4"/>
      <c r="L45" s="4"/>
    </row>
    <row r="46" spans="2:12" ht="18" customHeight="1" x14ac:dyDescent="0.2">
      <c r="B46" s="19" t="s">
        <v>37</v>
      </c>
      <c r="C46" s="148"/>
      <c r="D46" s="148">
        <f>G14*(1+$G15)</f>
        <v>5.05</v>
      </c>
      <c r="E46" s="148">
        <f>D46*(1+$G15)</f>
        <v>5.1005000000000003</v>
      </c>
      <c r="F46" s="148">
        <f>E46*(1+$G15)</f>
        <v>5.1515050000000002</v>
      </c>
      <c r="G46" s="148">
        <f>F46*(1+$G15)</f>
        <v>5.2030200500000001</v>
      </c>
      <c r="J46" s="4"/>
      <c r="K46" s="4"/>
      <c r="L46" s="4"/>
    </row>
    <row r="47" spans="2:12" ht="18" customHeight="1" x14ac:dyDescent="0.2">
      <c r="B47" s="20" t="s">
        <v>193</v>
      </c>
      <c r="C47" s="149"/>
      <c r="D47" s="149">
        <f>D46*(1+$G9)</f>
        <v>5.1257499999999991</v>
      </c>
      <c r="E47" s="149">
        <f>E46*(1+$G9)</f>
        <v>5.1770074999999993</v>
      </c>
      <c r="F47" s="149">
        <f>F46*(1+$G9)</f>
        <v>5.2287775749999996</v>
      </c>
      <c r="G47" s="149">
        <f>G46*(1+$G9)</f>
        <v>5.2810653507499996</v>
      </c>
      <c r="J47" s="4"/>
      <c r="K47" s="4"/>
      <c r="L47" s="4"/>
    </row>
    <row r="48" spans="2:12" ht="18" customHeight="1" x14ac:dyDescent="0.2">
      <c r="B48" s="19" t="s">
        <v>38</v>
      </c>
      <c r="C48" s="148">
        <f>D48+E48+F48+G48</f>
        <v>57150.690746419488</v>
      </c>
      <c r="D48" s="148">
        <f>D47*D30</f>
        <v>18952.188517283954</v>
      </c>
      <c r="E48" s="148">
        <f>E47*E30</f>
        <v>12765.207840966819</v>
      </c>
      <c r="F48" s="148">
        <f>F47*F30</f>
        <v>12653.38029262125</v>
      </c>
      <c r="G48" s="148">
        <f>G47*G30</f>
        <v>12779.914095547463</v>
      </c>
      <c r="J48" s="4"/>
      <c r="K48" s="4"/>
      <c r="L48" s="4"/>
    </row>
    <row r="49" spans="2:12" ht="18" customHeight="1" x14ac:dyDescent="0.2">
      <c r="B49" s="20" t="s">
        <v>194</v>
      </c>
      <c r="C49" s="149">
        <f>D49+E49+F49+G49</f>
        <v>10287.124334355507</v>
      </c>
      <c r="D49" s="149">
        <f>D48*$G8</f>
        <v>3411.3939331111114</v>
      </c>
      <c r="E49" s="149">
        <f>E48*$G8</f>
        <v>2297.7374113740275</v>
      </c>
      <c r="F49" s="149">
        <f>F48*$G8</f>
        <v>2277.608452671825</v>
      </c>
      <c r="G49" s="149">
        <f>G48*$G8</f>
        <v>2300.3845371985431</v>
      </c>
      <c r="J49" s="4"/>
      <c r="K49" s="4"/>
      <c r="L49" s="4"/>
    </row>
    <row r="50" spans="2:12" ht="18" customHeight="1" x14ac:dyDescent="0.2">
      <c r="B50" s="57" t="s">
        <v>39</v>
      </c>
      <c r="C50" s="160">
        <f>D50+E50+F50+G50</f>
        <v>46863.566412063985</v>
      </c>
      <c r="D50" s="160">
        <f>D48-D49</f>
        <v>15540.794584172843</v>
      </c>
      <c r="E50" s="160">
        <f>E48-E49</f>
        <v>10467.470429592791</v>
      </c>
      <c r="F50" s="160">
        <f>F48-F49</f>
        <v>10375.771839949426</v>
      </c>
      <c r="G50" s="160">
        <f>G48-G49</f>
        <v>10479.529558348921</v>
      </c>
      <c r="J50" s="65" t="s">
        <v>0</v>
      </c>
      <c r="K50" s="4"/>
      <c r="L50" s="4"/>
    </row>
    <row r="51" spans="2:12" ht="18" customHeight="1" x14ac:dyDescent="0.2">
      <c r="B51" s="4"/>
      <c r="C51" s="4"/>
      <c r="D51" s="4"/>
      <c r="E51" s="4"/>
      <c r="F51" s="4"/>
      <c r="G51" s="4"/>
      <c r="J51" s="4"/>
      <c r="K51" s="4"/>
      <c r="L51" s="4"/>
    </row>
    <row r="52" spans="2:12" ht="18" customHeight="1" x14ac:dyDescent="0.2">
      <c r="B52" s="4"/>
      <c r="C52" s="4"/>
      <c r="D52" s="4"/>
      <c r="E52" s="4"/>
      <c r="F52" s="4"/>
      <c r="G52" s="4"/>
      <c r="J52" s="4"/>
      <c r="K52" s="4"/>
      <c r="L52" s="4"/>
    </row>
    <row r="53" spans="2:12" ht="18" customHeight="1" x14ac:dyDescent="0.2">
      <c r="B53" s="71" t="s">
        <v>99</v>
      </c>
      <c r="C53" s="4"/>
      <c r="D53" s="4"/>
      <c r="E53" s="4"/>
      <c r="F53" s="4"/>
      <c r="G53" s="4"/>
      <c r="J53" s="4"/>
      <c r="K53" s="4"/>
      <c r="L53" s="4"/>
    </row>
    <row r="54" spans="2:12" ht="18" customHeight="1" x14ac:dyDescent="0.2">
      <c r="B54" s="4"/>
      <c r="C54" s="4"/>
      <c r="D54" s="4"/>
      <c r="E54" s="4"/>
      <c r="F54" s="4"/>
      <c r="G54" s="4"/>
      <c r="J54" s="4"/>
      <c r="K54" s="4"/>
      <c r="L54" s="4"/>
    </row>
    <row r="55" spans="2:12" ht="18" customHeight="1" x14ac:dyDescent="0.2">
      <c r="B55" s="201" t="s">
        <v>295</v>
      </c>
      <c r="C55" s="207" t="s">
        <v>8</v>
      </c>
      <c r="D55" s="208"/>
      <c r="E55" s="208"/>
      <c r="F55" s="208"/>
      <c r="G55" s="209"/>
      <c r="J55" s="4"/>
      <c r="K55" s="4"/>
      <c r="L55" s="4"/>
    </row>
    <row r="56" spans="2:12" ht="18" customHeight="1" x14ac:dyDescent="0.2">
      <c r="B56" s="203"/>
      <c r="C56" s="70" t="s">
        <v>15</v>
      </c>
      <c r="D56" s="70" t="s">
        <v>268</v>
      </c>
      <c r="E56" s="70" t="s">
        <v>267</v>
      </c>
      <c r="F56" s="70" t="s">
        <v>266</v>
      </c>
      <c r="G56" s="70" t="s">
        <v>265</v>
      </c>
      <c r="J56" s="4"/>
      <c r="K56" s="4"/>
      <c r="L56" s="4"/>
    </row>
    <row r="57" spans="2:12" ht="18" customHeight="1" x14ac:dyDescent="0.2">
      <c r="B57" s="19" t="s">
        <v>284</v>
      </c>
      <c r="C57" s="148">
        <f>C44+C50</f>
        <v>350659.60444112332</v>
      </c>
      <c r="D57" s="148">
        <f>D44+D50</f>
        <v>85561.786248461023</v>
      </c>
      <c r="E57" s="148">
        <f>E44+E50</f>
        <v>87827.756307126299</v>
      </c>
      <c r="F57" s="148">
        <f>F44+F50</f>
        <v>88194.060639570118</v>
      </c>
      <c r="G57" s="148">
        <f>G44+G50</f>
        <v>89076.001245965817</v>
      </c>
      <c r="J57" s="4"/>
      <c r="K57" s="4"/>
      <c r="L57" s="4"/>
    </row>
    <row r="58" spans="2:12" ht="18" customHeight="1" x14ac:dyDescent="0.2">
      <c r="B58" s="20" t="s">
        <v>283</v>
      </c>
      <c r="C58" s="149">
        <f>C42+C48</f>
        <v>427633.66395258933</v>
      </c>
      <c r="D58" s="149">
        <f>D42+D48</f>
        <v>104343.64176641589</v>
      </c>
      <c r="E58" s="149">
        <f>E42+E48</f>
        <v>107107.01988673938</v>
      </c>
      <c r="F58" s="149">
        <f>F42+F48</f>
        <v>107553.73248728062</v>
      </c>
      <c r="G58" s="149">
        <f>G42+G48</f>
        <v>108629.26981215342</v>
      </c>
      <c r="J58" s="4"/>
      <c r="K58" s="4"/>
      <c r="L58" s="4"/>
    </row>
    <row r="59" spans="2:12" ht="18" customHeight="1" x14ac:dyDescent="0.2">
      <c r="B59" s="57" t="s">
        <v>161</v>
      </c>
      <c r="C59" s="160">
        <f>C58-C57</f>
        <v>76974.05951146601</v>
      </c>
      <c r="D59" s="160">
        <f>D58-D57</f>
        <v>18781.855517954871</v>
      </c>
      <c r="E59" s="160">
        <f>E58-E57</f>
        <v>19279.263579613078</v>
      </c>
      <c r="F59" s="160">
        <f>F58-F57</f>
        <v>19359.671847710502</v>
      </c>
      <c r="G59" s="160">
        <f>G58-G57</f>
        <v>19553.268566187602</v>
      </c>
      <c r="J59" s="4"/>
      <c r="K59" s="4"/>
      <c r="L59" s="4"/>
    </row>
    <row r="60" spans="2:12" ht="18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ht="18" customHeight="1" x14ac:dyDescent="0.2">
      <c r="B61" s="72" t="s">
        <v>204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8" customHeight="1" x14ac:dyDescent="0.2">
      <c r="B62" s="72" t="s">
        <v>285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8" customHeight="1" x14ac:dyDescent="0.2">
      <c r="B63" s="72" t="s">
        <v>286</v>
      </c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18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8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8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8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8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8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8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8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8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8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8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s="146" customFormat="1" ht="30" customHeight="1" x14ac:dyDescent="0.2"/>
    <row r="76" spans="2:12" ht="18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</sheetData>
  <mergeCells count="16">
    <mergeCell ref="C20:G20"/>
    <mergeCell ref="C37:G37"/>
    <mergeCell ref="C55:G55"/>
    <mergeCell ref="B20:B21"/>
    <mergeCell ref="B37:B38"/>
    <mergeCell ref="B55:B56"/>
    <mergeCell ref="A1:XFD1"/>
    <mergeCell ref="E8:F8"/>
    <mergeCell ref="E9:F9"/>
    <mergeCell ref="E10:F10"/>
    <mergeCell ref="E15:F15"/>
    <mergeCell ref="E13:F13"/>
    <mergeCell ref="E14:F14"/>
    <mergeCell ref="B8:C8"/>
    <mergeCell ref="B13:C13"/>
    <mergeCell ref="E12:G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&amp;R&amp;"Arial,Itálico"&amp;12Planejamento Empresarial e Orçamentário </oddHeader>
    <oddFooter xml:space="preserve">&amp;R&amp;"Arial,Itálico"&amp;11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7" width="11.7109375" style="1" customWidth="1"/>
    <col min="8" max="16384" width="11.42578125" style="1"/>
  </cols>
  <sheetData>
    <row r="1" spans="1:7" s="188" customFormat="1" ht="52.5" customHeight="1" thickBot="1" x14ac:dyDescent="0.25">
      <c r="A1" s="188" t="s">
        <v>222</v>
      </c>
    </row>
    <row r="2" spans="1:7" ht="18" customHeight="1" thickTop="1" x14ac:dyDescent="0.2"/>
    <row r="3" spans="1:7" ht="22.5" customHeight="1" x14ac:dyDescent="0.2">
      <c r="B3" s="3" t="s">
        <v>44</v>
      </c>
    </row>
    <row r="6" spans="1:7" ht="18" customHeight="1" x14ac:dyDescent="0.2">
      <c r="B6" s="71" t="s">
        <v>229</v>
      </c>
    </row>
    <row r="7" spans="1:7" s="4" customFormat="1" ht="18" customHeight="1" x14ac:dyDescent="0.2"/>
    <row r="8" spans="1:7" s="4" customFormat="1" ht="18" customHeight="1" x14ac:dyDescent="0.2">
      <c r="B8" s="89" t="s">
        <v>40</v>
      </c>
      <c r="C8" s="23">
        <v>0.7</v>
      </c>
      <c r="E8" s="198" t="s">
        <v>45</v>
      </c>
      <c r="F8" s="198"/>
      <c r="G8" s="198"/>
    </row>
    <row r="9" spans="1:7" s="4" customFormat="1" ht="18" customHeight="1" x14ac:dyDescent="0.2">
      <c r="B9" s="89" t="s">
        <v>41</v>
      </c>
      <c r="C9" s="35">
        <v>6</v>
      </c>
      <c r="E9" s="191" t="s">
        <v>46</v>
      </c>
      <c r="F9" s="191"/>
      <c r="G9" s="85">
        <v>0.1</v>
      </c>
    </row>
    <row r="10" spans="1:7" s="4" customFormat="1" ht="18" customHeight="1" x14ac:dyDescent="0.2">
      <c r="B10" s="89" t="s">
        <v>42</v>
      </c>
      <c r="C10" s="34">
        <v>63</v>
      </c>
      <c r="E10" s="192" t="s">
        <v>47</v>
      </c>
      <c r="F10" s="192"/>
      <c r="G10" s="86">
        <v>0.4</v>
      </c>
    </row>
    <row r="11" spans="1:7" s="4" customFormat="1" ht="18" customHeight="1" x14ac:dyDescent="0.2">
      <c r="B11" s="89" t="s">
        <v>43</v>
      </c>
      <c r="C11" s="35">
        <f>C9*C10</f>
        <v>378</v>
      </c>
      <c r="E11" s="191" t="s">
        <v>48</v>
      </c>
      <c r="F11" s="191"/>
      <c r="G11" s="85">
        <v>0.2</v>
      </c>
    </row>
    <row r="12" spans="1:7" s="4" customFormat="1" ht="18" customHeight="1" x14ac:dyDescent="0.2"/>
    <row r="13" spans="1:7" s="4" customFormat="1" ht="18" customHeight="1" x14ac:dyDescent="0.2"/>
    <row r="14" spans="1:7" s="4" customFormat="1" ht="18" customHeight="1" x14ac:dyDescent="0.2">
      <c r="B14" s="71" t="s">
        <v>44</v>
      </c>
    </row>
    <row r="15" spans="1:7" s="4" customFormat="1" ht="18" customHeight="1" x14ac:dyDescent="0.2"/>
    <row r="16" spans="1:7" s="4" customFormat="1" ht="18" customHeight="1" x14ac:dyDescent="0.2">
      <c r="B16" s="201" t="s">
        <v>241</v>
      </c>
      <c r="C16" s="207" t="s">
        <v>8</v>
      </c>
      <c r="D16" s="208"/>
      <c r="E16" s="208"/>
      <c r="F16" s="208"/>
      <c r="G16" s="209"/>
    </row>
    <row r="17" spans="2:7" s="4" customFormat="1" ht="18" customHeight="1" x14ac:dyDescent="0.2">
      <c r="B17" s="203"/>
      <c r="C17" s="70" t="s">
        <v>15</v>
      </c>
      <c r="D17" s="70" t="s">
        <v>268</v>
      </c>
      <c r="E17" s="70" t="s">
        <v>267</v>
      </c>
      <c r="F17" s="70" t="s">
        <v>266</v>
      </c>
      <c r="G17" s="70" t="s">
        <v>265</v>
      </c>
    </row>
    <row r="18" spans="2:7" s="4" customFormat="1" ht="18" customHeight="1" x14ac:dyDescent="0.2">
      <c r="B18" s="95"/>
      <c r="C18" s="96"/>
      <c r="D18" s="96"/>
      <c r="E18" s="96"/>
      <c r="F18" s="96"/>
      <c r="G18" s="97"/>
    </row>
    <row r="19" spans="2:7" s="4" customFormat="1" ht="18" customHeight="1" x14ac:dyDescent="0.2">
      <c r="B19" s="132" t="s">
        <v>288</v>
      </c>
      <c r="C19" s="87"/>
      <c r="D19" s="87"/>
      <c r="E19" s="87"/>
      <c r="F19" s="87"/>
      <c r="G19" s="88"/>
    </row>
    <row r="20" spans="2:7" s="4" customFormat="1" ht="18" customHeight="1" x14ac:dyDescent="0.2">
      <c r="B20" s="19"/>
      <c r="C20" s="17">
        <f>'Plano de produção'!D28</f>
        <v>48104.458333333336</v>
      </c>
      <c r="D20" s="17">
        <f>'Plano de produção'!E28</f>
        <v>11805.319444444445</v>
      </c>
      <c r="E20" s="17">
        <f>'Plano de produção'!F28</f>
        <v>12099.75</v>
      </c>
      <c r="F20" s="17">
        <f>'Plano de produção'!G28</f>
        <v>12099.75</v>
      </c>
      <c r="G20" s="17">
        <f>'Plano de produção'!H28</f>
        <v>12099.75</v>
      </c>
    </row>
    <row r="21" spans="2:7" s="4" customFormat="1" ht="18" customHeight="1" x14ac:dyDescent="0.2">
      <c r="B21" s="44"/>
      <c r="C21" s="93"/>
      <c r="D21" s="93"/>
      <c r="E21" s="93"/>
      <c r="F21" s="93"/>
      <c r="G21" s="94"/>
    </row>
    <row r="22" spans="2:7" s="4" customFormat="1" ht="18" customHeight="1" x14ac:dyDescent="0.2">
      <c r="B22" s="132" t="s">
        <v>289</v>
      </c>
      <c r="C22" s="87"/>
      <c r="D22" s="87"/>
      <c r="E22" s="87"/>
      <c r="F22" s="87"/>
      <c r="G22" s="88"/>
    </row>
    <row r="23" spans="2:7" s="4" customFormat="1" ht="18" customHeight="1" x14ac:dyDescent="0.2">
      <c r="B23" s="105" t="s">
        <v>46</v>
      </c>
      <c r="C23" s="17">
        <f>C20*$G9</f>
        <v>4810.4458333333341</v>
      </c>
      <c r="D23" s="17">
        <f>D20*$G9</f>
        <v>1180.5319444444447</v>
      </c>
      <c r="E23" s="17">
        <f>E20*$G9</f>
        <v>1209.9750000000001</v>
      </c>
      <c r="F23" s="17">
        <f>F20*$G9</f>
        <v>1209.9750000000001</v>
      </c>
      <c r="G23" s="17">
        <f>G20*$G9</f>
        <v>1209.9750000000001</v>
      </c>
    </row>
    <row r="24" spans="2:7" s="4" customFormat="1" ht="18" customHeight="1" x14ac:dyDescent="0.2">
      <c r="B24" s="106" t="s">
        <v>47</v>
      </c>
      <c r="C24" s="18">
        <f>C20*$G10</f>
        <v>19241.783333333336</v>
      </c>
      <c r="D24" s="18">
        <f>D20*$G10</f>
        <v>4722.1277777777786</v>
      </c>
      <c r="E24" s="18">
        <f>E20*$G10</f>
        <v>4839.9000000000005</v>
      </c>
      <c r="F24" s="18">
        <f>F20*$G10</f>
        <v>4839.9000000000005</v>
      </c>
      <c r="G24" s="18">
        <f>G20*$G10</f>
        <v>4839.9000000000005</v>
      </c>
    </row>
    <row r="25" spans="2:7" s="4" customFormat="1" ht="18" customHeight="1" x14ac:dyDescent="0.2">
      <c r="B25" s="105" t="s">
        <v>48</v>
      </c>
      <c r="C25" s="17">
        <f>C20*$G11</f>
        <v>9620.8916666666682</v>
      </c>
      <c r="D25" s="17">
        <f>D20*$G11</f>
        <v>2361.0638888888893</v>
      </c>
      <c r="E25" s="17">
        <f>E20*$G11</f>
        <v>2419.9500000000003</v>
      </c>
      <c r="F25" s="17">
        <f>F20*$G11</f>
        <v>2419.9500000000003</v>
      </c>
      <c r="G25" s="17">
        <f>G20*$G11</f>
        <v>2419.9500000000003</v>
      </c>
    </row>
    <row r="26" spans="2:7" s="4" customFormat="1" ht="18" customHeight="1" x14ac:dyDescent="0.2">
      <c r="B26" s="44"/>
      <c r="C26" s="93"/>
      <c r="D26" s="93"/>
      <c r="E26" s="93"/>
      <c r="F26" s="93"/>
      <c r="G26" s="94"/>
    </row>
    <row r="27" spans="2:7" s="4" customFormat="1" ht="18" customHeight="1" x14ac:dyDescent="0.2">
      <c r="B27" s="132" t="s">
        <v>290</v>
      </c>
      <c r="C27" s="163"/>
      <c r="D27" s="163"/>
      <c r="E27" s="163"/>
      <c r="F27" s="163"/>
      <c r="G27" s="164"/>
    </row>
    <row r="28" spans="2:7" s="4" customFormat="1" ht="18" customHeight="1" x14ac:dyDescent="0.2">
      <c r="B28" s="105" t="s">
        <v>46</v>
      </c>
      <c r="C28" s="17">
        <f t="shared" ref="C28:G30" si="0">C23/$C$8</f>
        <v>6872.065476190478</v>
      </c>
      <c r="D28" s="17">
        <f t="shared" si="0"/>
        <v>1686.4742063492067</v>
      </c>
      <c r="E28" s="17">
        <f t="shared" si="0"/>
        <v>1728.5357142857147</v>
      </c>
      <c r="F28" s="17">
        <f t="shared" si="0"/>
        <v>1728.5357142857147</v>
      </c>
      <c r="G28" s="17">
        <f t="shared" si="0"/>
        <v>1728.5357142857147</v>
      </c>
    </row>
    <row r="29" spans="2:7" s="4" customFormat="1" ht="18" customHeight="1" x14ac:dyDescent="0.2">
      <c r="B29" s="106" t="s">
        <v>47</v>
      </c>
      <c r="C29" s="18">
        <f t="shared" si="0"/>
        <v>27488.261904761912</v>
      </c>
      <c r="D29" s="18">
        <f t="shared" si="0"/>
        <v>6745.8968253968269</v>
      </c>
      <c r="E29" s="18">
        <f t="shared" si="0"/>
        <v>6914.1428571428587</v>
      </c>
      <c r="F29" s="18">
        <f t="shared" si="0"/>
        <v>6914.1428571428587</v>
      </c>
      <c r="G29" s="18">
        <f t="shared" si="0"/>
        <v>6914.1428571428587</v>
      </c>
    </row>
    <row r="30" spans="2:7" s="4" customFormat="1" ht="18" customHeight="1" x14ac:dyDescent="0.2">
      <c r="B30" s="105" t="s">
        <v>48</v>
      </c>
      <c r="C30" s="17">
        <f t="shared" si="0"/>
        <v>13744.130952380956</v>
      </c>
      <c r="D30" s="17">
        <f t="shared" si="0"/>
        <v>3372.9484126984134</v>
      </c>
      <c r="E30" s="17">
        <f t="shared" si="0"/>
        <v>3457.0714285714294</v>
      </c>
      <c r="F30" s="17">
        <f t="shared" si="0"/>
        <v>3457.0714285714294</v>
      </c>
      <c r="G30" s="17">
        <f t="shared" si="0"/>
        <v>3457.0714285714294</v>
      </c>
    </row>
    <row r="31" spans="2:7" s="4" customFormat="1" ht="18" customHeight="1" x14ac:dyDescent="0.2">
      <c r="B31" s="44"/>
      <c r="C31" s="91"/>
      <c r="D31" s="91"/>
      <c r="E31" s="91"/>
      <c r="F31" s="91"/>
      <c r="G31" s="92"/>
    </row>
    <row r="32" spans="2:7" s="4" customFormat="1" ht="18" customHeight="1" x14ac:dyDescent="0.2">
      <c r="B32" s="132" t="s">
        <v>291</v>
      </c>
      <c r="C32" s="87"/>
      <c r="D32" s="87"/>
      <c r="E32" s="87"/>
      <c r="F32" s="87"/>
      <c r="G32" s="88"/>
    </row>
    <row r="33" spans="2:7" s="4" customFormat="1" ht="18" customHeight="1" x14ac:dyDescent="0.2">
      <c r="B33" s="105" t="s">
        <v>46</v>
      </c>
      <c r="C33" s="85" t="s">
        <v>10</v>
      </c>
      <c r="D33" s="83">
        <f t="shared" ref="D33:G35" si="1">D28/$C$11</f>
        <v>4.4615719744688009</v>
      </c>
      <c r="E33" s="83">
        <f t="shared" si="1"/>
        <v>4.5728458049886633</v>
      </c>
      <c r="F33" s="83">
        <f t="shared" si="1"/>
        <v>4.5728458049886633</v>
      </c>
      <c r="G33" s="83">
        <f t="shared" si="1"/>
        <v>4.5728458049886633</v>
      </c>
    </row>
    <row r="34" spans="2:7" s="4" customFormat="1" ht="18" customHeight="1" x14ac:dyDescent="0.2">
      <c r="B34" s="106" t="s">
        <v>47</v>
      </c>
      <c r="C34" s="86" t="s">
        <v>10</v>
      </c>
      <c r="D34" s="84">
        <f t="shared" si="1"/>
        <v>17.846287897875204</v>
      </c>
      <c r="E34" s="84">
        <f t="shared" si="1"/>
        <v>18.291383219954653</v>
      </c>
      <c r="F34" s="84">
        <f t="shared" si="1"/>
        <v>18.291383219954653</v>
      </c>
      <c r="G34" s="84">
        <f t="shared" si="1"/>
        <v>18.291383219954653</v>
      </c>
    </row>
    <row r="35" spans="2:7" s="4" customFormat="1" ht="18" customHeight="1" x14ac:dyDescent="0.2">
      <c r="B35" s="133" t="s">
        <v>48</v>
      </c>
      <c r="C35" s="134" t="s">
        <v>10</v>
      </c>
      <c r="D35" s="135">
        <f t="shared" si="1"/>
        <v>8.9231439489376019</v>
      </c>
      <c r="E35" s="135">
        <f t="shared" si="1"/>
        <v>9.1456916099773267</v>
      </c>
      <c r="F35" s="135">
        <f t="shared" si="1"/>
        <v>9.1456916099773267</v>
      </c>
      <c r="G35" s="135">
        <f t="shared" si="1"/>
        <v>9.1456916099773267</v>
      </c>
    </row>
    <row r="36" spans="2:7" s="4" customFormat="1" ht="18" customHeight="1" x14ac:dyDescent="0.2"/>
    <row r="37" spans="2:7" s="4" customFormat="1" ht="18" customHeight="1" x14ac:dyDescent="0.2">
      <c r="B37" s="72" t="s">
        <v>292</v>
      </c>
    </row>
    <row r="38" spans="2:7" s="4" customFormat="1" ht="18" customHeight="1" x14ac:dyDescent="0.2"/>
    <row r="39" spans="2:7" s="4" customFormat="1" ht="18" customHeight="1" x14ac:dyDescent="0.2"/>
    <row r="40" spans="2:7" s="4" customFormat="1" ht="18" customHeight="1" x14ac:dyDescent="0.2"/>
    <row r="41" spans="2:7" s="4" customFormat="1" ht="18" customHeight="1" x14ac:dyDescent="0.2"/>
    <row r="42" spans="2:7" s="4" customFormat="1" ht="18" customHeight="1" x14ac:dyDescent="0.2"/>
    <row r="43" spans="2:7" s="4" customFormat="1" ht="18" customHeight="1" x14ac:dyDescent="0.2"/>
    <row r="44" spans="2:7" s="4" customFormat="1" ht="18" customHeight="1" x14ac:dyDescent="0.2"/>
    <row r="45" spans="2:7" s="4" customFormat="1" ht="18" customHeight="1" x14ac:dyDescent="0.2"/>
    <row r="46" spans="2:7" s="4" customFormat="1" ht="18" customHeight="1" x14ac:dyDescent="0.2"/>
    <row r="47" spans="2:7" s="4" customFormat="1" ht="18" customHeight="1" x14ac:dyDescent="0.2"/>
    <row r="48" spans="2:7" s="4" customFormat="1" ht="18" customHeight="1" x14ac:dyDescent="0.2"/>
    <row r="49" s="146" customFormat="1" ht="30" customHeight="1" x14ac:dyDescent="0.2"/>
    <row r="50" s="4" customFormat="1" ht="18" customHeight="1" x14ac:dyDescent="0.2"/>
    <row r="51" s="4" customFormat="1" ht="18" customHeight="1" x14ac:dyDescent="0.2"/>
    <row r="52" s="4" customFormat="1" ht="18" customHeight="1" x14ac:dyDescent="0.2"/>
    <row r="53" s="4" customFormat="1" ht="18" customHeight="1" x14ac:dyDescent="0.2"/>
    <row r="54" s="4" customFormat="1" ht="18" customHeight="1" x14ac:dyDescent="0.2"/>
    <row r="55" s="4" customFormat="1" ht="18" customHeight="1" x14ac:dyDescent="0.2"/>
    <row r="56" s="4" customFormat="1" ht="18" customHeight="1" x14ac:dyDescent="0.2"/>
    <row r="57" s="4" customFormat="1" ht="18" customHeight="1" x14ac:dyDescent="0.2"/>
    <row r="58" s="4" customFormat="1" ht="18" customHeight="1" x14ac:dyDescent="0.2"/>
    <row r="59" s="4" customFormat="1" ht="18" customHeight="1" x14ac:dyDescent="0.2"/>
    <row r="60" s="4" customFormat="1" ht="18" customHeight="1" x14ac:dyDescent="0.2"/>
    <row r="61" s="4" customFormat="1" ht="18" customHeight="1" x14ac:dyDescent="0.2"/>
    <row r="62" s="4" customFormat="1" ht="18" customHeight="1" x14ac:dyDescent="0.2"/>
    <row r="63" s="4" customFormat="1" ht="18" customHeight="1" x14ac:dyDescent="0.2"/>
    <row r="64" s="4" customFormat="1" ht="18" customHeight="1" x14ac:dyDescent="0.2"/>
    <row r="65" s="4" customFormat="1" ht="18" customHeight="1" x14ac:dyDescent="0.2"/>
    <row r="66" s="4" customFormat="1" ht="18" customHeight="1" x14ac:dyDescent="0.2"/>
    <row r="67" s="4" customFormat="1" ht="18" customHeight="1" x14ac:dyDescent="0.2"/>
    <row r="68" s="4" customFormat="1" ht="18" customHeight="1" x14ac:dyDescent="0.2"/>
    <row r="69" s="4" customFormat="1" ht="18" customHeight="1" x14ac:dyDescent="0.2"/>
    <row r="70" s="4" customFormat="1" ht="18" customHeight="1" x14ac:dyDescent="0.2"/>
    <row r="71" s="4" customFormat="1" ht="18" customHeight="1" x14ac:dyDescent="0.2"/>
    <row r="72" s="4" customFormat="1" ht="18" customHeight="1" x14ac:dyDescent="0.2"/>
    <row r="73" s="4" customFormat="1" ht="18" customHeight="1" x14ac:dyDescent="0.2"/>
    <row r="74" s="4" customFormat="1" ht="18" customHeight="1" x14ac:dyDescent="0.2"/>
    <row r="75" s="4" customFormat="1" ht="18" customHeight="1" x14ac:dyDescent="0.2"/>
    <row r="76" s="4" customFormat="1" ht="18" customHeight="1" x14ac:dyDescent="0.2"/>
    <row r="77" s="4" customFormat="1" ht="18" customHeight="1" x14ac:dyDescent="0.2"/>
    <row r="78" s="4" customFormat="1" ht="18" customHeight="1" x14ac:dyDescent="0.2"/>
    <row r="79" s="4" customFormat="1" ht="18" customHeight="1" x14ac:dyDescent="0.2"/>
    <row r="80" s="4" customFormat="1" ht="18" customHeight="1" x14ac:dyDescent="0.2"/>
    <row r="81" s="4" customFormat="1" ht="18" customHeight="1" x14ac:dyDescent="0.2"/>
    <row r="82" s="4" customFormat="1" ht="18" customHeight="1" x14ac:dyDescent="0.2"/>
    <row r="83" s="4" customFormat="1" ht="18" customHeight="1" x14ac:dyDescent="0.2"/>
    <row r="84" s="4" customFormat="1" ht="18" customHeight="1" x14ac:dyDescent="0.2"/>
    <row r="85" s="4" customFormat="1" ht="18" customHeight="1" x14ac:dyDescent="0.2"/>
    <row r="86" s="4" customFormat="1" ht="18" customHeight="1" x14ac:dyDescent="0.2"/>
    <row r="87" s="4" customFormat="1" ht="18" customHeight="1" x14ac:dyDescent="0.2"/>
    <row r="88" s="4" customFormat="1" ht="18" customHeight="1" x14ac:dyDescent="0.2"/>
    <row r="89" s="4" customFormat="1" ht="18" customHeight="1" x14ac:dyDescent="0.2"/>
    <row r="90" s="4" customFormat="1" ht="18" customHeight="1" x14ac:dyDescent="0.2"/>
    <row r="91" s="4" customFormat="1" ht="18" customHeight="1" x14ac:dyDescent="0.2"/>
    <row r="92" s="4" customFormat="1" ht="18" customHeight="1" x14ac:dyDescent="0.2"/>
    <row r="93" s="4" customFormat="1" ht="18" customHeight="1" x14ac:dyDescent="0.2"/>
    <row r="94" s="4" customFormat="1" ht="18" customHeight="1" x14ac:dyDescent="0.2"/>
    <row r="95" s="4" customFormat="1" ht="18" customHeight="1" x14ac:dyDescent="0.2"/>
    <row r="96" s="4" customFormat="1" ht="18" customHeight="1" x14ac:dyDescent="0.2"/>
    <row r="97" s="4" customFormat="1" ht="18" customHeight="1" x14ac:dyDescent="0.2"/>
    <row r="98" s="4" customFormat="1" ht="18" customHeight="1" x14ac:dyDescent="0.2"/>
    <row r="99" s="4" customFormat="1" ht="18" customHeight="1" x14ac:dyDescent="0.2"/>
    <row r="100" s="4" customFormat="1" ht="18" customHeight="1" x14ac:dyDescent="0.2"/>
    <row r="101" s="4" customFormat="1" ht="18" customHeight="1" x14ac:dyDescent="0.2"/>
    <row r="102" s="4" customFormat="1" ht="18" customHeight="1" x14ac:dyDescent="0.2"/>
    <row r="103" s="4" customFormat="1" ht="18" customHeight="1" x14ac:dyDescent="0.2"/>
    <row r="104" s="4" customFormat="1" ht="18" customHeight="1" x14ac:dyDescent="0.2"/>
    <row r="105" s="4" customFormat="1" ht="18" customHeight="1" x14ac:dyDescent="0.2"/>
    <row r="106" s="4" customFormat="1" ht="18" customHeight="1" x14ac:dyDescent="0.2"/>
    <row r="107" s="4" customFormat="1" ht="18" customHeight="1" x14ac:dyDescent="0.2"/>
    <row r="108" s="4" customFormat="1" ht="18" customHeight="1" x14ac:dyDescent="0.2"/>
    <row r="109" s="4" customFormat="1" ht="18" customHeight="1" x14ac:dyDescent="0.2"/>
    <row r="110" s="4" customFormat="1" ht="18" customHeight="1" x14ac:dyDescent="0.2"/>
    <row r="111" s="4" customFormat="1" ht="18" customHeight="1" x14ac:dyDescent="0.2"/>
    <row r="112" s="4" customFormat="1" ht="18" customHeight="1" x14ac:dyDescent="0.2"/>
    <row r="113" s="4" customFormat="1" ht="18" customHeight="1" x14ac:dyDescent="0.2"/>
    <row r="114" s="4" customFormat="1" ht="18" customHeight="1" x14ac:dyDescent="0.2"/>
    <row r="115" s="4" customFormat="1" ht="18" customHeight="1" x14ac:dyDescent="0.2"/>
    <row r="116" s="4" customFormat="1" ht="18" customHeight="1" x14ac:dyDescent="0.2"/>
    <row r="117" s="4" customFormat="1" ht="18" customHeight="1" x14ac:dyDescent="0.2"/>
    <row r="118" s="4" customFormat="1" ht="18" customHeight="1" x14ac:dyDescent="0.2"/>
    <row r="119" s="4" customFormat="1" ht="18" customHeight="1" x14ac:dyDescent="0.2"/>
    <row r="120" s="4" customFormat="1" ht="18" customHeight="1" x14ac:dyDescent="0.2"/>
    <row r="121" s="4" customFormat="1" ht="18" customHeight="1" x14ac:dyDescent="0.2"/>
    <row r="122" s="4" customFormat="1" ht="18" customHeight="1" x14ac:dyDescent="0.2"/>
    <row r="123" s="4" customFormat="1" ht="18" customHeight="1" x14ac:dyDescent="0.2"/>
    <row r="124" s="4" customFormat="1" ht="18" customHeight="1" x14ac:dyDescent="0.2"/>
    <row r="125" s="4" customFormat="1" ht="18" customHeight="1" x14ac:dyDescent="0.2"/>
    <row r="126" s="4" customFormat="1" ht="18" customHeight="1" x14ac:dyDescent="0.2"/>
    <row r="127" s="4" customFormat="1" ht="18" customHeight="1" x14ac:dyDescent="0.2"/>
    <row r="128" s="4" customFormat="1" ht="18" customHeight="1" x14ac:dyDescent="0.2"/>
    <row r="129" s="4" customFormat="1" ht="18" customHeight="1" x14ac:dyDescent="0.2"/>
    <row r="130" s="4" customFormat="1" ht="18" customHeight="1" x14ac:dyDescent="0.2"/>
    <row r="131" s="4" customFormat="1" ht="18" customHeight="1" x14ac:dyDescent="0.2"/>
    <row r="132" s="4" customFormat="1" ht="18" customHeight="1" x14ac:dyDescent="0.2"/>
    <row r="133" s="4" customFormat="1" ht="18" customHeight="1" x14ac:dyDescent="0.2"/>
    <row r="134" s="4" customFormat="1" ht="18" customHeight="1" x14ac:dyDescent="0.2"/>
    <row r="135" s="4" customFormat="1" ht="18" customHeight="1" x14ac:dyDescent="0.2"/>
    <row r="136" s="4" customFormat="1" ht="18" customHeight="1" x14ac:dyDescent="0.2"/>
    <row r="137" s="4" customFormat="1" ht="18" customHeight="1" x14ac:dyDescent="0.2"/>
    <row r="138" s="4" customFormat="1" ht="18" customHeight="1" x14ac:dyDescent="0.2"/>
    <row r="139" s="4" customFormat="1" ht="18" customHeight="1" x14ac:dyDescent="0.2"/>
    <row r="140" s="4" customFormat="1" ht="18" customHeight="1" x14ac:dyDescent="0.2"/>
    <row r="141" s="4" customFormat="1" ht="18" customHeight="1" x14ac:dyDescent="0.2"/>
    <row r="142" s="4" customFormat="1" ht="18" customHeight="1" x14ac:dyDescent="0.2"/>
    <row r="143" s="4" customFormat="1" ht="18" customHeight="1" x14ac:dyDescent="0.2"/>
    <row r="144" s="4" customFormat="1" ht="18" customHeight="1" x14ac:dyDescent="0.2"/>
    <row r="145" s="4" customFormat="1" ht="18" customHeight="1" x14ac:dyDescent="0.2"/>
    <row r="146" s="4" customFormat="1" ht="18" customHeight="1" x14ac:dyDescent="0.2"/>
    <row r="147" s="4" customFormat="1" ht="18" customHeight="1" x14ac:dyDescent="0.2"/>
    <row r="148" s="4" customFormat="1" ht="18" customHeight="1" x14ac:dyDescent="0.2"/>
    <row r="149" s="4" customFormat="1" ht="18" customHeight="1" x14ac:dyDescent="0.2"/>
    <row r="150" s="4" customFormat="1" ht="18" customHeight="1" x14ac:dyDescent="0.2"/>
    <row r="151" s="4" customFormat="1" ht="18" customHeight="1" x14ac:dyDescent="0.2"/>
    <row r="152" s="4" customFormat="1" ht="18" customHeight="1" x14ac:dyDescent="0.2"/>
    <row r="153" s="4" customFormat="1" ht="18" customHeight="1" x14ac:dyDescent="0.2"/>
    <row r="154" s="4" customFormat="1" ht="18" customHeight="1" x14ac:dyDescent="0.2"/>
    <row r="155" s="4" customFormat="1" ht="18" customHeight="1" x14ac:dyDescent="0.2"/>
    <row r="156" s="4" customFormat="1" ht="18" customHeight="1" x14ac:dyDescent="0.2"/>
    <row r="157" s="4" customFormat="1" ht="18" customHeight="1" x14ac:dyDescent="0.2"/>
    <row r="158" s="4" customFormat="1" ht="18" customHeight="1" x14ac:dyDescent="0.2"/>
    <row r="159" s="4" customFormat="1" ht="18" customHeight="1" x14ac:dyDescent="0.2"/>
    <row r="160" s="4" customFormat="1" ht="18" customHeight="1" x14ac:dyDescent="0.2"/>
    <row r="161" s="4" customFormat="1" ht="18" customHeight="1" x14ac:dyDescent="0.2"/>
    <row r="162" s="4" customFormat="1" ht="18" customHeight="1" x14ac:dyDescent="0.2"/>
    <row r="163" s="4" customFormat="1" ht="18" customHeight="1" x14ac:dyDescent="0.2"/>
    <row r="164" s="4" customFormat="1" ht="18" customHeight="1" x14ac:dyDescent="0.2"/>
    <row r="165" s="4" customFormat="1" ht="18" customHeight="1" x14ac:dyDescent="0.2"/>
    <row r="166" s="4" customFormat="1" ht="18" customHeight="1" x14ac:dyDescent="0.2"/>
    <row r="167" s="4" customFormat="1" ht="18" customHeight="1" x14ac:dyDescent="0.2"/>
    <row r="168" s="4" customFormat="1" ht="18" customHeight="1" x14ac:dyDescent="0.2"/>
    <row r="169" s="4" customFormat="1" ht="18" customHeight="1" x14ac:dyDescent="0.2"/>
    <row r="170" s="4" customFormat="1" ht="18" customHeight="1" x14ac:dyDescent="0.2"/>
    <row r="171" s="4" customFormat="1" ht="18" customHeight="1" x14ac:dyDescent="0.2"/>
    <row r="172" s="4" customFormat="1" ht="18" customHeight="1" x14ac:dyDescent="0.2"/>
    <row r="173" s="4" customFormat="1" ht="18" customHeight="1" x14ac:dyDescent="0.2"/>
    <row r="174" s="4" customFormat="1" ht="18" customHeight="1" x14ac:dyDescent="0.2"/>
    <row r="175" s="4" customFormat="1" ht="18" customHeight="1" x14ac:dyDescent="0.2"/>
    <row r="176" s="4" customFormat="1" ht="18" customHeight="1" x14ac:dyDescent="0.2"/>
    <row r="177" s="4" customFormat="1" ht="18" customHeight="1" x14ac:dyDescent="0.2"/>
    <row r="178" s="4" customFormat="1" ht="18" customHeight="1" x14ac:dyDescent="0.2"/>
    <row r="179" s="4" customFormat="1" ht="18" customHeight="1" x14ac:dyDescent="0.2"/>
    <row r="180" s="4" customFormat="1" ht="18" customHeight="1" x14ac:dyDescent="0.2"/>
    <row r="181" s="4" customFormat="1" ht="18" customHeight="1" x14ac:dyDescent="0.2"/>
    <row r="182" s="4" customFormat="1" ht="18" customHeight="1" x14ac:dyDescent="0.2"/>
    <row r="183" s="4" customFormat="1" ht="18" customHeight="1" x14ac:dyDescent="0.2"/>
    <row r="184" s="4" customFormat="1" ht="18" customHeight="1" x14ac:dyDescent="0.2"/>
    <row r="185" s="4" customFormat="1" ht="18" customHeight="1" x14ac:dyDescent="0.2"/>
    <row r="186" s="4" customFormat="1" ht="18" customHeight="1" x14ac:dyDescent="0.2"/>
    <row r="187" s="4" customFormat="1" ht="18" customHeight="1" x14ac:dyDescent="0.2"/>
    <row r="188" s="4" customFormat="1" ht="18" customHeight="1" x14ac:dyDescent="0.2"/>
    <row r="189" s="4" customFormat="1" ht="18" customHeight="1" x14ac:dyDescent="0.2"/>
    <row r="190" s="4" customFormat="1" ht="18" customHeight="1" x14ac:dyDescent="0.2"/>
    <row r="191" s="4" customFormat="1" ht="18" customHeight="1" x14ac:dyDescent="0.2"/>
    <row r="192" s="4" customFormat="1" ht="18" customHeight="1" x14ac:dyDescent="0.2"/>
    <row r="193" s="4" customFormat="1" ht="18" customHeight="1" x14ac:dyDescent="0.2"/>
    <row r="194" s="4" customFormat="1" ht="18" customHeight="1" x14ac:dyDescent="0.2"/>
    <row r="195" s="4" customFormat="1" ht="18" customHeight="1" x14ac:dyDescent="0.2"/>
    <row r="196" s="4" customFormat="1" ht="18" customHeight="1" x14ac:dyDescent="0.2"/>
    <row r="197" s="4" customFormat="1" ht="18" customHeight="1" x14ac:dyDescent="0.2"/>
    <row r="198" s="4" customFormat="1" ht="18" customHeight="1" x14ac:dyDescent="0.2"/>
    <row r="199" s="4" customFormat="1" ht="18" customHeight="1" x14ac:dyDescent="0.2"/>
    <row r="200" s="4" customFormat="1" ht="18" customHeight="1" x14ac:dyDescent="0.2"/>
    <row r="201" s="4" customFormat="1" ht="18" customHeight="1" x14ac:dyDescent="0.2"/>
    <row r="202" s="4" customFormat="1" ht="18" customHeight="1" x14ac:dyDescent="0.2"/>
    <row r="203" s="4" customFormat="1" ht="18" customHeight="1" x14ac:dyDescent="0.2"/>
    <row r="204" s="4" customFormat="1" ht="18" customHeight="1" x14ac:dyDescent="0.2"/>
    <row r="205" s="4" customFormat="1" ht="18" customHeight="1" x14ac:dyDescent="0.2"/>
    <row r="206" s="4" customFormat="1" ht="18" customHeight="1" x14ac:dyDescent="0.2"/>
    <row r="207" s="4" customFormat="1" ht="18" customHeight="1" x14ac:dyDescent="0.2"/>
    <row r="208" s="4" customFormat="1" ht="18" customHeight="1" x14ac:dyDescent="0.2"/>
    <row r="209" s="4" customFormat="1" ht="18" customHeight="1" x14ac:dyDescent="0.2"/>
    <row r="210" s="4" customFormat="1" ht="18" customHeight="1" x14ac:dyDescent="0.2"/>
    <row r="211" s="4" customFormat="1" ht="18" customHeight="1" x14ac:dyDescent="0.2"/>
    <row r="212" s="4" customFormat="1" ht="18" customHeight="1" x14ac:dyDescent="0.2"/>
    <row r="213" s="4" customFormat="1" ht="18" customHeight="1" x14ac:dyDescent="0.2"/>
    <row r="214" s="4" customFormat="1" ht="18" customHeight="1" x14ac:dyDescent="0.2"/>
    <row r="215" s="4" customFormat="1" ht="18" customHeight="1" x14ac:dyDescent="0.2"/>
    <row r="216" s="4" customFormat="1" ht="18" customHeight="1" x14ac:dyDescent="0.2"/>
    <row r="217" s="4" customFormat="1" ht="18" customHeight="1" x14ac:dyDescent="0.2"/>
    <row r="218" s="4" customFormat="1" ht="18" customHeight="1" x14ac:dyDescent="0.2"/>
    <row r="219" s="4" customFormat="1" ht="18" customHeight="1" x14ac:dyDescent="0.2"/>
    <row r="220" s="4" customFormat="1" ht="18" customHeight="1" x14ac:dyDescent="0.2"/>
    <row r="221" s="4" customFormat="1" ht="18" customHeight="1" x14ac:dyDescent="0.2"/>
    <row r="222" s="4" customFormat="1" ht="18" customHeight="1" x14ac:dyDescent="0.2"/>
    <row r="223" s="4" customFormat="1" ht="18" customHeight="1" x14ac:dyDescent="0.2"/>
    <row r="224" s="4" customFormat="1" ht="18" customHeight="1" x14ac:dyDescent="0.2"/>
    <row r="225" s="4" customFormat="1" ht="18" customHeight="1" x14ac:dyDescent="0.2"/>
    <row r="226" s="4" customFormat="1" ht="18" customHeight="1" x14ac:dyDescent="0.2"/>
    <row r="227" s="4" customFormat="1" ht="18" customHeight="1" x14ac:dyDescent="0.2"/>
    <row r="228" s="4" customFormat="1" ht="18" customHeight="1" x14ac:dyDescent="0.2"/>
    <row r="229" s="4" customFormat="1" ht="18" customHeight="1" x14ac:dyDescent="0.2"/>
    <row r="230" s="4" customFormat="1" ht="18" customHeight="1" x14ac:dyDescent="0.2"/>
    <row r="231" s="4" customFormat="1" ht="18" customHeight="1" x14ac:dyDescent="0.2"/>
    <row r="232" s="4" customFormat="1" ht="18" customHeight="1" x14ac:dyDescent="0.2"/>
    <row r="233" s="4" customFormat="1" ht="18" customHeight="1" x14ac:dyDescent="0.2"/>
    <row r="234" s="4" customFormat="1" ht="18" customHeight="1" x14ac:dyDescent="0.2"/>
    <row r="235" s="4" customFormat="1" ht="18" customHeight="1" x14ac:dyDescent="0.2"/>
    <row r="236" s="4" customFormat="1" ht="18" customHeight="1" x14ac:dyDescent="0.2"/>
    <row r="237" s="4" customFormat="1" ht="18" customHeight="1" x14ac:dyDescent="0.2"/>
    <row r="238" s="4" customFormat="1" ht="18" customHeight="1" x14ac:dyDescent="0.2"/>
    <row r="239" s="4" customFormat="1" ht="18" customHeight="1" x14ac:dyDescent="0.2"/>
    <row r="240" s="4" customFormat="1" ht="18" customHeight="1" x14ac:dyDescent="0.2"/>
    <row r="241" s="4" customFormat="1" ht="18" customHeight="1" x14ac:dyDescent="0.2"/>
    <row r="242" s="4" customFormat="1" ht="18" customHeight="1" x14ac:dyDescent="0.2"/>
    <row r="243" s="4" customFormat="1" ht="18" customHeight="1" x14ac:dyDescent="0.2"/>
    <row r="244" s="4" customFormat="1" ht="18" customHeight="1" x14ac:dyDescent="0.2"/>
    <row r="245" s="4" customFormat="1" ht="18" customHeight="1" x14ac:dyDescent="0.2"/>
    <row r="246" s="4" customFormat="1" ht="18" customHeight="1" x14ac:dyDescent="0.2"/>
    <row r="247" s="4" customFormat="1" ht="18" customHeight="1" x14ac:dyDescent="0.2"/>
    <row r="248" s="4" customFormat="1" ht="18" customHeight="1" x14ac:dyDescent="0.2"/>
    <row r="249" s="4" customFormat="1" ht="18" customHeight="1" x14ac:dyDescent="0.2"/>
    <row r="250" s="4" customFormat="1" ht="18" customHeight="1" x14ac:dyDescent="0.2"/>
    <row r="251" s="4" customFormat="1" ht="18" customHeight="1" x14ac:dyDescent="0.2"/>
    <row r="252" s="4" customFormat="1" ht="18" customHeight="1" x14ac:dyDescent="0.2"/>
    <row r="253" s="4" customFormat="1" ht="18" customHeight="1" x14ac:dyDescent="0.2"/>
    <row r="254" s="4" customFormat="1" ht="18" customHeight="1" x14ac:dyDescent="0.2"/>
    <row r="255" s="4" customFormat="1" ht="18" customHeight="1" x14ac:dyDescent="0.2"/>
    <row r="256" s="4" customFormat="1" ht="18" customHeight="1" x14ac:dyDescent="0.2"/>
    <row r="257" s="4" customFormat="1" ht="18" customHeight="1" x14ac:dyDescent="0.2"/>
    <row r="258" s="4" customFormat="1" ht="18" customHeight="1" x14ac:dyDescent="0.2"/>
    <row r="259" s="4" customFormat="1" ht="18" customHeight="1" x14ac:dyDescent="0.2"/>
    <row r="260" s="4" customFormat="1" ht="18" customHeight="1" x14ac:dyDescent="0.2"/>
    <row r="261" s="4" customFormat="1" ht="18" customHeight="1" x14ac:dyDescent="0.2"/>
    <row r="262" s="4" customFormat="1" ht="18" customHeight="1" x14ac:dyDescent="0.2"/>
    <row r="263" s="4" customFormat="1" ht="18" customHeight="1" x14ac:dyDescent="0.2"/>
    <row r="264" s="4" customFormat="1" ht="18" customHeight="1" x14ac:dyDescent="0.2"/>
    <row r="265" s="4" customFormat="1" ht="18" customHeight="1" x14ac:dyDescent="0.2"/>
    <row r="266" s="4" customFormat="1" ht="18" customHeight="1" x14ac:dyDescent="0.2"/>
    <row r="267" s="4" customFormat="1" ht="18" customHeight="1" x14ac:dyDescent="0.2"/>
    <row r="268" s="4" customFormat="1" ht="18" customHeight="1" x14ac:dyDescent="0.2"/>
    <row r="269" s="4" customFormat="1" ht="18" customHeight="1" x14ac:dyDescent="0.2"/>
    <row r="270" s="4" customFormat="1" ht="18" customHeight="1" x14ac:dyDescent="0.2"/>
    <row r="271" s="4" customFormat="1" ht="18" customHeight="1" x14ac:dyDescent="0.2"/>
    <row r="272" s="4" customFormat="1" ht="18" customHeight="1" x14ac:dyDescent="0.2"/>
    <row r="273" s="4" customFormat="1" ht="18" customHeight="1" x14ac:dyDescent="0.2"/>
    <row r="274" s="4" customFormat="1" ht="18" customHeight="1" x14ac:dyDescent="0.2"/>
    <row r="275" s="4" customFormat="1" ht="18" customHeight="1" x14ac:dyDescent="0.2"/>
    <row r="276" s="4" customFormat="1" ht="18" customHeight="1" x14ac:dyDescent="0.2"/>
    <row r="277" s="4" customFormat="1" ht="18" customHeight="1" x14ac:dyDescent="0.2"/>
    <row r="278" s="4" customFormat="1" ht="18" customHeight="1" x14ac:dyDescent="0.2"/>
    <row r="279" s="4" customFormat="1" ht="18" customHeight="1" x14ac:dyDescent="0.2"/>
    <row r="280" s="4" customFormat="1" ht="18" customHeight="1" x14ac:dyDescent="0.2"/>
  </sheetData>
  <mergeCells count="7">
    <mergeCell ref="E11:F11"/>
    <mergeCell ref="E8:G8"/>
    <mergeCell ref="C16:G16"/>
    <mergeCell ref="B16:B17"/>
    <mergeCell ref="A1:XFD1"/>
    <mergeCell ref="E9:F9"/>
    <mergeCell ref="E10:F10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&amp;R&amp;"Arial,Itálico"&amp;12Planejamento Empresarial e Orçamentário</oddHeader>
    <oddFooter xml:space="preserve">&amp;R&amp;"Arial,Itálico"&amp;11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39.28515625" style="1" customWidth="1"/>
    <col min="3" max="7" width="11.7109375" style="1" bestFit="1" customWidth="1"/>
    <col min="8" max="16384" width="11.42578125" style="1"/>
  </cols>
  <sheetData>
    <row r="1" spans="1:8" s="188" customFormat="1" ht="52.5" customHeight="1" thickBot="1" x14ac:dyDescent="0.25">
      <c r="A1" s="188" t="s">
        <v>222</v>
      </c>
    </row>
    <row r="2" spans="1:8" ht="18" customHeight="1" thickTop="1" x14ac:dyDescent="0.2"/>
    <row r="3" spans="1:8" ht="22.5" customHeight="1" x14ac:dyDescent="0.2">
      <c r="B3" s="3" t="s">
        <v>188</v>
      </c>
    </row>
    <row r="6" spans="1:8" ht="18" customHeight="1" x14ac:dyDescent="0.2">
      <c r="B6" s="71" t="s">
        <v>229</v>
      </c>
    </row>
    <row r="7" spans="1:8" ht="18" customHeight="1" x14ac:dyDescent="0.2">
      <c r="B7" s="4"/>
      <c r="C7" s="4"/>
      <c r="D7" s="4"/>
      <c r="E7" s="4"/>
      <c r="F7" s="4"/>
      <c r="G7" s="4"/>
      <c r="H7" s="4"/>
    </row>
    <row r="8" spans="1:8" ht="18" customHeight="1" x14ac:dyDescent="0.2">
      <c r="B8" s="194" t="s">
        <v>49</v>
      </c>
      <c r="C8" s="194"/>
      <c r="D8" s="4"/>
      <c r="E8" s="4"/>
      <c r="F8" s="4"/>
      <c r="G8" s="4"/>
      <c r="H8" s="4"/>
    </row>
    <row r="9" spans="1:8" ht="18" customHeight="1" x14ac:dyDescent="0.2">
      <c r="B9" s="19" t="s">
        <v>50</v>
      </c>
      <c r="C9" s="23">
        <v>0.01</v>
      </c>
      <c r="D9" s="4"/>
      <c r="E9" s="4"/>
      <c r="F9" s="4"/>
      <c r="G9" s="4"/>
      <c r="H9" s="4"/>
    </row>
    <row r="10" spans="1:8" ht="18" customHeight="1" x14ac:dyDescent="0.2">
      <c r="B10" s="20" t="s">
        <v>293</v>
      </c>
      <c r="C10" s="74">
        <v>2.5000000000000001E-2</v>
      </c>
      <c r="D10" s="4"/>
      <c r="E10" s="4"/>
      <c r="F10" s="4"/>
      <c r="G10" s="4"/>
      <c r="H10" s="4"/>
    </row>
    <row r="11" spans="1:8" ht="18" customHeight="1" x14ac:dyDescent="0.2">
      <c r="B11" s="19" t="s">
        <v>51</v>
      </c>
      <c r="C11" s="73">
        <v>2.5000000000000001E-2</v>
      </c>
      <c r="D11" s="4"/>
      <c r="E11" s="4"/>
      <c r="F11" s="4"/>
      <c r="G11" s="4"/>
      <c r="H11" s="4"/>
    </row>
    <row r="12" spans="1:8" ht="18" customHeight="1" x14ac:dyDescent="0.2">
      <c r="B12" s="20" t="s">
        <v>294</v>
      </c>
      <c r="C12" s="22">
        <v>0.05</v>
      </c>
      <c r="D12" s="4"/>
      <c r="E12" s="4"/>
      <c r="F12" s="4"/>
      <c r="G12" s="4"/>
      <c r="H12" s="4"/>
    </row>
    <row r="13" spans="1:8" ht="18" customHeight="1" x14ac:dyDescent="0.2">
      <c r="B13" s="4"/>
      <c r="C13" s="4"/>
      <c r="D13" s="4"/>
      <c r="E13" s="4"/>
      <c r="F13" s="4"/>
      <c r="G13" s="4"/>
      <c r="H13" s="4"/>
    </row>
    <row r="14" spans="1:8" ht="18" customHeight="1" x14ac:dyDescent="0.2">
      <c r="B14" s="4"/>
      <c r="C14" s="4"/>
      <c r="D14" s="4"/>
      <c r="E14" s="4"/>
      <c r="F14" s="4"/>
      <c r="G14" s="4"/>
      <c r="H14" s="4"/>
    </row>
    <row r="15" spans="1:8" ht="18" customHeight="1" x14ac:dyDescent="0.2">
      <c r="B15" s="71" t="s">
        <v>52</v>
      </c>
    </row>
    <row r="16" spans="1:8" ht="18" customHeight="1" x14ac:dyDescent="0.2">
      <c r="A16" s="4"/>
      <c r="B16" s="4"/>
      <c r="C16" s="4"/>
      <c r="D16" s="4"/>
      <c r="E16" s="4"/>
      <c r="F16" s="4"/>
      <c r="G16" s="4"/>
      <c r="H16" s="4"/>
    </row>
    <row r="17" spans="2:11" ht="18" customHeight="1" x14ac:dyDescent="0.2">
      <c r="B17" s="201" t="s">
        <v>295</v>
      </c>
      <c r="C17" s="207" t="s">
        <v>8</v>
      </c>
      <c r="D17" s="208"/>
      <c r="E17" s="208"/>
      <c r="F17" s="208"/>
      <c r="G17" s="209"/>
    </row>
    <row r="18" spans="2:11" ht="18" customHeight="1" x14ac:dyDescent="0.2">
      <c r="B18" s="203"/>
      <c r="C18" s="70" t="s">
        <v>15</v>
      </c>
      <c r="D18" s="70" t="s">
        <v>268</v>
      </c>
      <c r="E18" s="70" t="s">
        <v>267</v>
      </c>
      <c r="F18" s="70" t="s">
        <v>266</v>
      </c>
      <c r="G18" s="70" t="s">
        <v>265</v>
      </c>
    </row>
    <row r="19" spans="2:11" ht="18" customHeight="1" x14ac:dyDescent="0.2">
      <c r="B19" s="102"/>
      <c r="C19" s="103"/>
      <c r="D19" s="103"/>
      <c r="E19" s="103"/>
      <c r="F19" s="103"/>
      <c r="G19" s="104"/>
    </row>
    <row r="20" spans="2:11" ht="18" customHeight="1" x14ac:dyDescent="0.2">
      <c r="B20" s="129" t="s">
        <v>53</v>
      </c>
      <c r="C20" s="98"/>
      <c r="D20" s="98"/>
      <c r="E20" s="98"/>
      <c r="F20" s="98"/>
      <c r="G20" s="99"/>
      <c r="H20" s="4"/>
    </row>
    <row r="21" spans="2:11" ht="18" customHeight="1" x14ac:dyDescent="0.2">
      <c r="B21" s="39" t="s">
        <v>293</v>
      </c>
      <c r="C21" s="34"/>
      <c r="D21" s="148">
        <f>'Plano de produção'!E30</f>
        <v>13690.430555555569</v>
      </c>
      <c r="E21" s="148">
        <f>'Plano de produção'!F30</f>
        <v>5005.3194444444307</v>
      </c>
      <c r="F21" s="148"/>
      <c r="G21" s="148"/>
      <c r="H21" s="4"/>
    </row>
    <row r="22" spans="2:11" ht="18" customHeight="1" x14ac:dyDescent="0.2">
      <c r="B22" s="41" t="s">
        <v>294</v>
      </c>
      <c r="C22" s="100"/>
      <c r="D22" s="165">
        <v>1000</v>
      </c>
      <c r="E22" s="165">
        <v>1000</v>
      </c>
      <c r="F22" s="165">
        <v>1000</v>
      </c>
      <c r="G22" s="165">
        <v>1000</v>
      </c>
      <c r="H22" s="4"/>
    </row>
    <row r="23" spans="2:11" ht="18" customHeight="1" x14ac:dyDescent="0.2">
      <c r="B23" s="48"/>
      <c r="C23" s="50"/>
      <c r="D23" s="50"/>
      <c r="E23" s="50"/>
      <c r="F23" s="50"/>
      <c r="G23" s="51"/>
      <c r="H23" s="4"/>
    </row>
    <row r="24" spans="2:11" ht="18" customHeight="1" x14ac:dyDescent="0.2">
      <c r="B24" s="129" t="s">
        <v>54</v>
      </c>
      <c r="C24" s="98"/>
      <c r="D24" s="98"/>
      <c r="E24" s="98"/>
      <c r="F24" s="98"/>
      <c r="G24" s="99"/>
      <c r="H24" s="4"/>
    </row>
    <row r="25" spans="2:11" ht="18" customHeight="1" x14ac:dyDescent="0.2">
      <c r="B25" s="19" t="s">
        <v>233</v>
      </c>
      <c r="C25" s="166">
        <v>2000</v>
      </c>
      <c r="D25" s="166">
        <v>2000</v>
      </c>
      <c r="E25" s="166">
        <v>2000</v>
      </c>
      <c r="F25" s="166">
        <v>2000</v>
      </c>
      <c r="G25" s="166">
        <v>2000</v>
      </c>
      <c r="H25" s="4"/>
    </row>
    <row r="26" spans="2:11" ht="18" customHeight="1" x14ac:dyDescent="0.2">
      <c r="B26" s="41" t="s">
        <v>50</v>
      </c>
      <c r="C26" s="167">
        <v>850000</v>
      </c>
      <c r="D26" s="167">
        <v>850000</v>
      </c>
      <c r="E26" s="167">
        <v>850000</v>
      </c>
      <c r="F26" s="167">
        <v>850000</v>
      </c>
      <c r="G26" s="167">
        <v>850000</v>
      </c>
      <c r="H26" s="4"/>
    </row>
    <row r="27" spans="2:11" ht="18" customHeight="1" x14ac:dyDescent="0.2">
      <c r="B27" s="39" t="s">
        <v>293</v>
      </c>
      <c r="C27" s="166">
        <v>300000</v>
      </c>
      <c r="D27" s="166">
        <f>C27+D21</f>
        <v>313690.43055555556</v>
      </c>
      <c r="E27" s="166">
        <f>D27+E21</f>
        <v>318695.75</v>
      </c>
      <c r="F27" s="166">
        <f>E27+F21</f>
        <v>318695.75</v>
      </c>
      <c r="G27" s="166">
        <f>F27+G21</f>
        <v>318695.75</v>
      </c>
      <c r="H27" s="4"/>
    </row>
    <row r="28" spans="2:11" ht="18" customHeight="1" x14ac:dyDescent="0.2">
      <c r="B28" s="20" t="s">
        <v>51</v>
      </c>
      <c r="C28" s="167">
        <v>63000</v>
      </c>
      <c r="D28" s="167">
        <v>63000</v>
      </c>
      <c r="E28" s="167">
        <v>63000</v>
      </c>
      <c r="F28" s="167">
        <v>63000</v>
      </c>
      <c r="G28" s="167">
        <v>63000</v>
      </c>
      <c r="H28" s="4"/>
    </row>
    <row r="29" spans="2:11" ht="18" customHeight="1" x14ac:dyDescent="0.2">
      <c r="B29" s="39" t="s">
        <v>294</v>
      </c>
      <c r="C29" s="166">
        <v>45000</v>
      </c>
      <c r="D29" s="166">
        <f>C29+D22</f>
        <v>46000</v>
      </c>
      <c r="E29" s="166">
        <f>D29+E22</f>
        <v>47000</v>
      </c>
      <c r="F29" s="166">
        <f>E29+F22</f>
        <v>48000</v>
      </c>
      <c r="G29" s="166">
        <f>F29+G22</f>
        <v>49000</v>
      </c>
      <c r="H29" s="4"/>
    </row>
    <row r="30" spans="2:11" ht="18" customHeight="1" x14ac:dyDescent="0.2">
      <c r="B30" s="130" t="s">
        <v>15</v>
      </c>
      <c r="C30" s="168">
        <f>SUM(C25:C29)</f>
        <v>1260000</v>
      </c>
      <c r="D30" s="168">
        <f>SUM(D25:D29)</f>
        <v>1274690.4305555555</v>
      </c>
      <c r="E30" s="168">
        <f>SUM(E25:E29)</f>
        <v>1280695.75</v>
      </c>
      <c r="F30" s="168">
        <f>SUM(F25:F29)</f>
        <v>1281695.75</v>
      </c>
      <c r="G30" s="168">
        <f>SUM(G25:G29)</f>
        <v>1282695.75</v>
      </c>
      <c r="H30" s="4"/>
      <c r="K30" s="169" t="s">
        <v>237</v>
      </c>
    </row>
    <row r="31" spans="2:11" ht="18" customHeight="1" x14ac:dyDescent="0.2">
      <c r="B31" s="48"/>
      <c r="C31" s="50"/>
      <c r="D31" s="50"/>
      <c r="E31" s="50"/>
      <c r="F31" s="50"/>
      <c r="G31" s="51"/>
      <c r="H31" s="4"/>
    </row>
    <row r="32" spans="2:11" ht="18" customHeight="1" x14ac:dyDescent="0.2">
      <c r="B32" s="129" t="s">
        <v>55</v>
      </c>
      <c r="C32" s="98"/>
      <c r="D32" s="98"/>
      <c r="E32" s="98"/>
      <c r="F32" s="98"/>
      <c r="G32" s="99"/>
      <c r="H32" s="4"/>
    </row>
    <row r="33" spans="1:12" ht="18" customHeight="1" x14ac:dyDescent="0.2">
      <c r="B33" s="19" t="s">
        <v>50</v>
      </c>
      <c r="C33" s="34"/>
      <c r="D33" s="148">
        <f>C26*$C$9</f>
        <v>8500</v>
      </c>
      <c r="E33" s="148">
        <f>D26*$C$9</f>
        <v>8500</v>
      </c>
      <c r="F33" s="148">
        <f>E26*$C$9</f>
        <v>8500</v>
      </c>
      <c r="G33" s="148">
        <f>F26*$C$9</f>
        <v>8500</v>
      </c>
      <c r="H33" s="4"/>
    </row>
    <row r="34" spans="1:12" ht="18" customHeight="1" x14ac:dyDescent="0.2">
      <c r="B34" s="41" t="s">
        <v>293</v>
      </c>
      <c r="C34" s="35"/>
      <c r="D34" s="149">
        <f>C27*$C$10</f>
        <v>7500</v>
      </c>
      <c r="E34" s="149">
        <f>D27*$C$10</f>
        <v>7842.2607638888894</v>
      </c>
      <c r="F34" s="149">
        <f>E27*$C$10</f>
        <v>7967.3937500000002</v>
      </c>
      <c r="G34" s="149">
        <f>F27*$C$10</f>
        <v>7967.3937500000002</v>
      </c>
      <c r="H34" s="4"/>
    </row>
    <row r="35" spans="1:12" ht="18" customHeight="1" x14ac:dyDescent="0.2">
      <c r="B35" s="19" t="s">
        <v>51</v>
      </c>
      <c r="C35" s="34"/>
      <c r="D35" s="148">
        <f>C28*$C$11</f>
        <v>1575</v>
      </c>
      <c r="E35" s="148">
        <f>D28*$C$11</f>
        <v>1575</v>
      </c>
      <c r="F35" s="148">
        <f>E28*$C$11</f>
        <v>1575</v>
      </c>
      <c r="G35" s="148">
        <f>F28*$C$11</f>
        <v>1575</v>
      </c>
      <c r="H35" s="4"/>
    </row>
    <row r="36" spans="1:12" ht="18" customHeight="1" x14ac:dyDescent="0.2">
      <c r="B36" s="41" t="s">
        <v>294</v>
      </c>
      <c r="C36" s="35"/>
      <c r="D36" s="149">
        <f>C29*$C$12</f>
        <v>2250</v>
      </c>
      <c r="E36" s="149">
        <f>D29*$C$12</f>
        <v>2300</v>
      </c>
      <c r="F36" s="149">
        <f>E29*$C$12</f>
        <v>2350</v>
      </c>
      <c r="G36" s="149">
        <f>F29*$C$12</f>
        <v>2400</v>
      </c>
      <c r="H36" s="4"/>
    </row>
    <row r="37" spans="1:12" ht="18" customHeight="1" x14ac:dyDescent="0.2">
      <c r="B37" s="131" t="s">
        <v>15</v>
      </c>
      <c r="C37" s="101"/>
      <c r="D37" s="170">
        <f>SUM(D33:D36)</f>
        <v>19825</v>
      </c>
      <c r="E37" s="170">
        <f>SUM(E33:E36)</f>
        <v>20217.260763888888</v>
      </c>
      <c r="F37" s="170">
        <f>SUM(F33:F36)</f>
        <v>20392.393749999999</v>
      </c>
      <c r="G37" s="170">
        <f>SUM(G33:G36)</f>
        <v>20442.393749999999</v>
      </c>
      <c r="H37" s="4"/>
    </row>
    <row r="38" spans="1:12" ht="18" customHeight="1" x14ac:dyDescent="0.2">
      <c r="B38" s="44"/>
      <c r="C38" s="46"/>
      <c r="D38" s="46"/>
      <c r="E38" s="46"/>
      <c r="F38" s="46"/>
      <c r="G38" s="47"/>
      <c r="H38" s="4"/>
    </row>
    <row r="39" spans="1:12" ht="18" customHeight="1" x14ac:dyDescent="0.2">
      <c r="B39" s="129" t="s">
        <v>56</v>
      </c>
      <c r="C39" s="98"/>
      <c r="D39" s="98"/>
      <c r="E39" s="98"/>
      <c r="F39" s="98"/>
      <c r="G39" s="99"/>
      <c r="H39" s="4"/>
    </row>
    <row r="40" spans="1:12" ht="18" customHeight="1" x14ac:dyDescent="0.2">
      <c r="B40" s="19" t="s">
        <v>50</v>
      </c>
      <c r="C40" s="166">
        <v>132240</v>
      </c>
      <c r="D40" s="148">
        <f>C40+D33</f>
        <v>140740</v>
      </c>
      <c r="E40" s="148">
        <f>D40+E33</f>
        <v>149240</v>
      </c>
      <c r="F40" s="148">
        <f>E40+F33</f>
        <v>157740</v>
      </c>
      <c r="G40" s="148">
        <f>F40+G33</f>
        <v>166240</v>
      </c>
      <c r="H40" s="152"/>
    </row>
    <row r="41" spans="1:12" ht="18" customHeight="1" x14ac:dyDescent="0.2">
      <c r="B41" s="41" t="s">
        <v>293</v>
      </c>
      <c r="C41" s="167">
        <v>51000</v>
      </c>
      <c r="D41" s="149">
        <f t="shared" ref="D41:G43" si="0">C41+D34</f>
        <v>58500</v>
      </c>
      <c r="E41" s="149">
        <f t="shared" si="0"/>
        <v>66342.260763888888</v>
      </c>
      <c r="F41" s="149">
        <f t="shared" si="0"/>
        <v>74309.654513888891</v>
      </c>
      <c r="G41" s="149">
        <f t="shared" si="0"/>
        <v>82277.048263888893</v>
      </c>
      <c r="H41" s="152"/>
      <c r="I41" s="4"/>
      <c r="J41" s="4"/>
      <c r="K41" s="4"/>
      <c r="L41" s="4"/>
    </row>
    <row r="42" spans="1:12" ht="18" customHeight="1" x14ac:dyDescent="0.2">
      <c r="B42" s="19" t="s">
        <v>51</v>
      </c>
      <c r="C42" s="166">
        <v>10710</v>
      </c>
      <c r="D42" s="148">
        <f t="shared" si="0"/>
        <v>12285</v>
      </c>
      <c r="E42" s="148">
        <f t="shared" si="0"/>
        <v>13860</v>
      </c>
      <c r="F42" s="148">
        <f t="shared" si="0"/>
        <v>15435</v>
      </c>
      <c r="G42" s="148">
        <f t="shared" si="0"/>
        <v>17010</v>
      </c>
      <c r="H42" s="152"/>
      <c r="I42" s="4"/>
      <c r="J42" s="4"/>
      <c r="K42" s="4"/>
      <c r="L42" s="4"/>
    </row>
    <row r="43" spans="1:12" ht="18" customHeight="1" x14ac:dyDescent="0.2">
      <c r="B43" s="41" t="s">
        <v>294</v>
      </c>
      <c r="C43" s="167">
        <v>7650</v>
      </c>
      <c r="D43" s="149">
        <f t="shared" si="0"/>
        <v>9900</v>
      </c>
      <c r="E43" s="149">
        <f t="shared" si="0"/>
        <v>12200</v>
      </c>
      <c r="F43" s="149">
        <f t="shared" si="0"/>
        <v>14550</v>
      </c>
      <c r="G43" s="149">
        <f t="shared" si="0"/>
        <v>16950</v>
      </c>
      <c r="H43" s="152"/>
      <c r="I43" s="4"/>
      <c r="J43" s="4"/>
      <c r="K43" s="4"/>
      <c r="L43" s="4"/>
    </row>
    <row r="44" spans="1:12" ht="18" customHeight="1" x14ac:dyDescent="0.2">
      <c r="A44" s="4"/>
      <c r="B44" s="136" t="s">
        <v>15</v>
      </c>
      <c r="C44" s="171">
        <f>SUM(C39:C43)</f>
        <v>201600</v>
      </c>
      <c r="D44" s="171">
        <f>SUM(D39:D43)</f>
        <v>221425</v>
      </c>
      <c r="E44" s="171">
        <f>SUM(E39:E43)</f>
        <v>241642.26076388889</v>
      </c>
      <c r="F44" s="171">
        <f>SUM(F39:F43)</f>
        <v>262034.65451388888</v>
      </c>
      <c r="G44" s="171">
        <f>SUM(G39:G43)</f>
        <v>282477.04826388892</v>
      </c>
      <c r="H44" s="152"/>
      <c r="I44" s="4"/>
      <c r="J44" s="4"/>
      <c r="K44" s="4"/>
      <c r="L44" s="4"/>
    </row>
    <row r="45" spans="1:12" ht="18" customHeight="1" x14ac:dyDescent="0.2">
      <c r="A45" s="4"/>
      <c r="B45" s="71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12" ht="18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ht="18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8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8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8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8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8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8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8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146" customFormat="1" ht="30" customHeight="1" x14ac:dyDescent="0.2"/>
    <row r="57" spans="1:11" ht="18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8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8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8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8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8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8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</sheetData>
  <mergeCells count="4">
    <mergeCell ref="A1:XFD1"/>
    <mergeCell ref="C17:G17"/>
    <mergeCell ref="B8:C8"/>
    <mergeCell ref="B17:B18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&amp;R&amp;"Arial,Itálico"&amp;12Planejamento Empresarial e Orçamentário</oddHeader>
    <oddFooter xml:space="preserve">&amp;R&amp;"Arial,Itálico"&amp;11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showRowColHeaders="0" workbookViewId="0">
      <pane ySplit="1" topLeftCell="A2" activePane="bottomLeft" state="frozen"/>
      <selection pane="bottomLeft" activeCell="B2" sqref="B2"/>
    </sheetView>
  </sheetViews>
  <sheetFormatPr defaultColWidth="11.42578125" defaultRowHeight="18" customHeight="1" x14ac:dyDescent="0.2"/>
  <cols>
    <col min="1" max="1" width="2.85546875" style="1" customWidth="1"/>
    <col min="2" max="2" width="39.140625" style="1" customWidth="1"/>
    <col min="3" max="16384" width="11.42578125" style="1"/>
  </cols>
  <sheetData>
    <row r="1" spans="1:3" s="188" customFormat="1" ht="52.5" customHeight="1" thickBot="1" x14ac:dyDescent="0.25">
      <c r="A1" s="188" t="s">
        <v>222</v>
      </c>
    </row>
    <row r="2" spans="1:3" ht="18" customHeight="1" thickTop="1" x14ac:dyDescent="0.2"/>
    <row r="3" spans="1:3" ht="22.5" customHeight="1" x14ac:dyDescent="0.2">
      <c r="B3" s="3" t="s">
        <v>224</v>
      </c>
    </row>
    <row r="6" spans="1:3" ht="18" customHeight="1" x14ac:dyDescent="0.2">
      <c r="B6" s="71" t="s">
        <v>229</v>
      </c>
    </row>
    <row r="7" spans="1:3" s="4" customFormat="1" ht="18" customHeight="1" x14ac:dyDescent="0.2"/>
    <row r="8" spans="1:3" s="4" customFormat="1" ht="18" customHeight="1" x14ac:dyDescent="0.2">
      <c r="B8" s="194" t="s">
        <v>57</v>
      </c>
      <c r="C8" s="194"/>
    </row>
    <row r="9" spans="1:3" s="4" customFormat="1" ht="18" customHeight="1" x14ac:dyDescent="0.2">
      <c r="B9" s="19" t="s">
        <v>242</v>
      </c>
      <c r="C9" s="23">
        <v>0.03</v>
      </c>
    </row>
    <row r="10" spans="1:3" s="4" customFormat="1" ht="18" customHeight="1" x14ac:dyDescent="0.2">
      <c r="B10" s="20" t="s">
        <v>243</v>
      </c>
      <c r="C10" s="22">
        <v>0.01</v>
      </c>
    </row>
    <row r="11" spans="1:3" s="4" customFormat="1" ht="18" customHeight="1" x14ac:dyDescent="0.2">
      <c r="B11" s="19" t="s">
        <v>58</v>
      </c>
      <c r="C11" s="23">
        <v>0.85</v>
      </c>
    </row>
    <row r="12" spans="1:3" s="4" customFormat="1" ht="18" customHeight="1" x14ac:dyDescent="0.2">
      <c r="B12" s="60" t="s">
        <v>72</v>
      </c>
      <c r="C12" s="61">
        <v>0.02</v>
      </c>
    </row>
    <row r="13" spans="1:3" s="4" customFormat="1" ht="18" customHeight="1" x14ac:dyDescent="0.2"/>
    <row r="14" spans="1:3" s="4" customFormat="1" ht="18" customHeight="1" x14ac:dyDescent="0.2"/>
    <row r="15" spans="1:3" s="4" customFormat="1" ht="18" customHeight="1" x14ac:dyDescent="0.2">
      <c r="B15" s="71" t="s">
        <v>299</v>
      </c>
    </row>
    <row r="16" spans="1:3" s="4" customFormat="1" ht="18" customHeight="1" x14ac:dyDescent="0.2">
      <c r="B16" s="71"/>
    </row>
    <row r="17" spans="2:7" s="4" customFormat="1" ht="18" customHeight="1" x14ac:dyDescent="0.2">
      <c r="B17" s="195" t="s">
        <v>235</v>
      </c>
      <c r="C17" s="194" t="s">
        <v>8</v>
      </c>
      <c r="D17" s="194"/>
      <c r="E17" s="194"/>
      <c r="F17" s="194"/>
      <c r="G17" s="194"/>
    </row>
    <row r="18" spans="2:7" s="4" customFormat="1" ht="18" customHeight="1" x14ac:dyDescent="0.2">
      <c r="B18" s="196"/>
      <c r="C18" s="70" t="s">
        <v>298</v>
      </c>
      <c r="D18" s="70" t="s">
        <v>268</v>
      </c>
      <c r="E18" s="70" t="s">
        <v>267</v>
      </c>
      <c r="F18" s="70" t="s">
        <v>266</v>
      </c>
      <c r="G18" s="70" t="s">
        <v>265</v>
      </c>
    </row>
    <row r="19" spans="2:7" s="4" customFormat="1" ht="18" customHeight="1" x14ac:dyDescent="0.2">
      <c r="B19" s="19" t="s">
        <v>234</v>
      </c>
      <c r="C19" s="34"/>
      <c r="D19" s="83">
        <f>SUM(D20:D22)</f>
        <v>31.231003821281604</v>
      </c>
      <c r="E19" s="83">
        <f>SUM(E20:E22)</f>
        <v>32.009920634920647</v>
      </c>
      <c r="F19" s="83">
        <f>SUM(F20:F22)</f>
        <v>32.009920634920647</v>
      </c>
      <c r="G19" s="83">
        <f>SUM(G20:G22)</f>
        <v>32.009920634920647</v>
      </c>
    </row>
    <row r="20" spans="2:7" s="4" customFormat="1" ht="18" customHeight="1" x14ac:dyDescent="0.2">
      <c r="B20" s="107" t="s">
        <v>46</v>
      </c>
      <c r="C20" s="35"/>
      <c r="D20" s="84">
        <f>'Mão de obra'!D33</f>
        <v>4.4615719744688009</v>
      </c>
      <c r="E20" s="84">
        <f>'Mão de obra'!E33</f>
        <v>4.5728458049886633</v>
      </c>
      <c r="F20" s="84">
        <f>'Mão de obra'!F33</f>
        <v>4.5728458049886633</v>
      </c>
      <c r="G20" s="84">
        <f>'Mão de obra'!G33</f>
        <v>4.5728458049886633</v>
      </c>
    </row>
    <row r="21" spans="2:7" s="4" customFormat="1" ht="18" customHeight="1" x14ac:dyDescent="0.2">
      <c r="B21" s="108" t="s">
        <v>47</v>
      </c>
      <c r="C21" s="34"/>
      <c r="D21" s="83">
        <f>'Mão de obra'!D34</f>
        <v>17.846287897875204</v>
      </c>
      <c r="E21" s="83">
        <f>'Mão de obra'!E34</f>
        <v>18.291383219954653</v>
      </c>
      <c r="F21" s="83">
        <f>'Mão de obra'!F34</f>
        <v>18.291383219954653</v>
      </c>
      <c r="G21" s="83">
        <f>'Mão de obra'!G34</f>
        <v>18.291383219954653</v>
      </c>
    </row>
    <row r="22" spans="2:7" s="4" customFormat="1" ht="18" customHeight="1" x14ac:dyDescent="0.2">
      <c r="B22" s="107" t="s">
        <v>48</v>
      </c>
      <c r="C22" s="35"/>
      <c r="D22" s="84">
        <f>'Mão de obra'!D35</f>
        <v>8.9231439489376019</v>
      </c>
      <c r="E22" s="84">
        <f>'Mão de obra'!E35</f>
        <v>9.1456916099773267</v>
      </c>
      <c r="F22" s="84">
        <f>'Mão de obra'!F35</f>
        <v>9.1456916099773267</v>
      </c>
      <c r="G22" s="84">
        <f>'Mão de obra'!G35</f>
        <v>9.1456916099773267</v>
      </c>
    </row>
    <row r="23" spans="2:7" s="4" customFormat="1" ht="18" customHeight="1" x14ac:dyDescent="0.2">
      <c r="B23" s="108"/>
      <c r="C23" s="34"/>
      <c r="D23" s="83"/>
      <c r="E23" s="83"/>
      <c r="F23" s="83"/>
      <c r="G23" s="83"/>
    </row>
    <row r="24" spans="2:7" s="4" customFormat="1" ht="18" customHeight="1" x14ac:dyDescent="0.2">
      <c r="B24" s="20" t="s">
        <v>62</v>
      </c>
      <c r="C24" s="35"/>
      <c r="D24" s="35">
        <v>6</v>
      </c>
      <c r="E24" s="35">
        <v>6</v>
      </c>
      <c r="F24" s="35">
        <v>6</v>
      </c>
      <c r="G24" s="35">
        <v>6</v>
      </c>
    </row>
    <row r="25" spans="2:7" s="4" customFormat="1" ht="18" customHeight="1" x14ac:dyDescent="0.2">
      <c r="B25" s="19" t="s">
        <v>63</v>
      </c>
      <c r="C25" s="34"/>
      <c r="D25" s="34">
        <v>3</v>
      </c>
      <c r="E25" s="34">
        <v>3</v>
      </c>
      <c r="F25" s="34">
        <v>3</v>
      </c>
      <c r="G25" s="34">
        <v>3</v>
      </c>
    </row>
    <row r="26" spans="2:7" s="4" customFormat="1" ht="18" customHeight="1" x14ac:dyDescent="0.2">
      <c r="B26" s="20" t="s">
        <v>64</v>
      </c>
      <c r="C26" s="35"/>
      <c r="D26" s="35">
        <v>4</v>
      </c>
      <c r="E26" s="35">
        <v>4</v>
      </c>
      <c r="F26" s="35">
        <v>4</v>
      </c>
      <c r="G26" s="35">
        <v>4</v>
      </c>
    </row>
    <row r="27" spans="2:7" s="4" customFormat="1" ht="18" customHeight="1" x14ac:dyDescent="0.2">
      <c r="B27" s="19"/>
      <c r="C27" s="34"/>
      <c r="D27" s="34"/>
      <c r="E27" s="34"/>
      <c r="F27" s="34"/>
      <c r="G27" s="34"/>
    </row>
    <row r="28" spans="2:7" s="4" customFormat="1" ht="18" customHeight="1" x14ac:dyDescent="0.2">
      <c r="B28" s="20" t="s">
        <v>65</v>
      </c>
      <c r="C28" s="35"/>
      <c r="D28" s="35">
        <v>8</v>
      </c>
      <c r="E28" s="35">
        <v>8</v>
      </c>
      <c r="F28" s="35">
        <v>8</v>
      </c>
      <c r="G28" s="35">
        <v>8</v>
      </c>
    </row>
    <row r="29" spans="2:7" s="4" customFormat="1" ht="18" customHeight="1" x14ac:dyDescent="0.2">
      <c r="B29" s="19" t="s">
        <v>66</v>
      </c>
      <c r="C29" s="34"/>
      <c r="D29" s="34">
        <v>1</v>
      </c>
      <c r="E29" s="34">
        <v>1</v>
      </c>
      <c r="F29" s="34">
        <v>1</v>
      </c>
      <c r="G29" s="34">
        <v>1</v>
      </c>
    </row>
    <row r="30" spans="2:7" s="4" customFormat="1" ht="18" customHeight="1" x14ac:dyDescent="0.2">
      <c r="B30" s="20" t="s">
        <v>67</v>
      </c>
      <c r="C30" s="35"/>
      <c r="D30" s="35">
        <v>3</v>
      </c>
      <c r="E30" s="35">
        <v>3</v>
      </c>
      <c r="F30" s="35">
        <v>3</v>
      </c>
      <c r="G30" s="35">
        <v>3</v>
      </c>
    </row>
    <row r="31" spans="2:7" s="4" customFormat="1" ht="18" customHeight="1" x14ac:dyDescent="0.2">
      <c r="B31" s="19"/>
      <c r="C31" s="34"/>
      <c r="D31" s="34"/>
      <c r="E31" s="34"/>
      <c r="F31" s="34"/>
      <c r="G31" s="34"/>
    </row>
    <row r="32" spans="2:7" s="4" customFormat="1" ht="18" customHeight="1" x14ac:dyDescent="0.2">
      <c r="B32" s="137" t="s">
        <v>68</v>
      </c>
      <c r="C32" s="138"/>
      <c r="D32" s="139">
        <f>SUM(D20:D30)</f>
        <v>56.231003821281604</v>
      </c>
      <c r="E32" s="139">
        <f>SUM(E20:E30)</f>
        <v>57.009920634920647</v>
      </c>
      <c r="F32" s="139">
        <f>SUM(F20:F30)</f>
        <v>57.009920634920647</v>
      </c>
      <c r="G32" s="139">
        <f>SUM(G20:G30)</f>
        <v>57.009920634920647</v>
      </c>
    </row>
    <row r="33" spans="2:7" s="4" customFormat="1" ht="18" customHeight="1" x14ac:dyDescent="0.2"/>
    <row r="34" spans="2:7" s="4" customFormat="1" ht="18" customHeight="1" x14ac:dyDescent="0.2">
      <c r="B34" s="195" t="s">
        <v>300</v>
      </c>
      <c r="C34" s="194" t="s">
        <v>8</v>
      </c>
      <c r="D34" s="194"/>
      <c r="E34" s="194"/>
      <c r="F34" s="194"/>
      <c r="G34" s="194"/>
    </row>
    <row r="35" spans="2:7" s="4" customFormat="1" ht="18" customHeight="1" x14ac:dyDescent="0.2">
      <c r="B35" s="196"/>
      <c r="C35" s="70" t="s">
        <v>298</v>
      </c>
      <c r="D35" s="70" t="s">
        <v>268</v>
      </c>
      <c r="E35" s="70" t="s">
        <v>267</v>
      </c>
      <c r="F35" s="70" t="s">
        <v>266</v>
      </c>
      <c r="G35" s="70" t="s">
        <v>265</v>
      </c>
    </row>
    <row r="36" spans="2:7" s="4" customFormat="1" ht="18" customHeight="1" x14ac:dyDescent="0.2">
      <c r="B36" s="19" t="s">
        <v>69</v>
      </c>
      <c r="C36" s="34" t="s">
        <v>0</v>
      </c>
      <c r="D36" s="83">
        <f>D19</f>
        <v>31.231003821281604</v>
      </c>
      <c r="E36" s="83">
        <f>E19</f>
        <v>32.009920634920647</v>
      </c>
      <c r="F36" s="83">
        <f>F19</f>
        <v>32.009920634920647</v>
      </c>
      <c r="G36" s="83">
        <f>G19</f>
        <v>32.009920634920647</v>
      </c>
    </row>
    <row r="37" spans="2:7" s="4" customFormat="1" ht="18" customHeight="1" x14ac:dyDescent="0.2">
      <c r="B37" s="20" t="s">
        <v>70</v>
      </c>
      <c r="C37" s="149">
        <v>400</v>
      </c>
      <c r="D37" s="149">
        <f>C37*(1+$C$9)</f>
        <v>412</v>
      </c>
      <c r="E37" s="149">
        <f>D37</f>
        <v>412</v>
      </c>
      <c r="F37" s="149">
        <f>E37*(1+$C$10)</f>
        <v>416.12</v>
      </c>
      <c r="G37" s="149">
        <f>F37</f>
        <v>416.12</v>
      </c>
    </row>
    <row r="38" spans="2:7" s="4" customFormat="1" ht="18" customHeight="1" x14ac:dyDescent="0.2">
      <c r="B38" s="19" t="s">
        <v>71</v>
      </c>
      <c r="C38" s="148">
        <f>SUM(D38:G38)</f>
        <v>97486.114866549135</v>
      </c>
      <c r="D38" s="148">
        <f>D36*D37*(1+$C$11)</f>
        <v>23804.271112580838</v>
      </c>
      <c r="E38" s="148">
        <f>E36*E37*(1+$C$11)</f>
        <v>24397.961507936518</v>
      </c>
      <c r="F38" s="148">
        <f>F36*F37*(1+$C$11)</f>
        <v>24641.941123015884</v>
      </c>
      <c r="G38" s="148">
        <f>G36*G37*(1+$C$11)</f>
        <v>24641.941123015884</v>
      </c>
    </row>
    <row r="39" spans="2:7" s="4" customFormat="1" ht="18" customHeight="1" x14ac:dyDescent="0.2">
      <c r="B39" s="20"/>
      <c r="C39" s="149"/>
      <c r="D39" s="149"/>
      <c r="E39" s="149"/>
      <c r="F39" s="149"/>
      <c r="G39" s="149"/>
    </row>
    <row r="40" spans="2:7" s="4" customFormat="1" ht="18" customHeight="1" x14ac:dyDescent="0.2">
      <c r="B40" s="19" t="s">
        <v>302</v>
      </c>
      <c r="C40" s="148">
        <v>1300</v>
      </c>
      <c r="D40" s="148">
        <f>C40*(1+$C$9)</f>
        <v>1339</v>
      </c>
      <c r="E40" s="148">
        <f>D40</f>
        <v>1339</v>
      </c>
      <c r="F40" s="148">
        <f>E40*(1+$C$10)</f>
        <v>1352.39</v>
      </c>
      <c r="G40" s="148">
        <f>F40</f>
        <v>1352.39</v>
      </c>
    </row>
    <row r="41" spans="2:7" s="4" customFormat="1" ht="18" customHeight="1" x14ac:dyDescent="0.2">
      <c r="B41" s="20" t="s">
        <v>71</v>
      </c>
      <c r="C41" s="149">
        <f>SUM(D41:G41)</f>
        <v>59748.858000000007</v>
      </c>
      <c r="D41" s="149">
        <f>D40*D24*(1+$C$11)</f>
        <v>14862.900000000001</v>
      </c>
      <c r="E41" s="149">
        <f>E40*E24*(1+$C$11)</f>
        <v>14862.900000000001</v>
      </c>
      <c r="F41" s="149">
        <f>F40*F24*(1+$C$11)</f>
        <v>15011.529</v>
      </c>
      <c r="G41" s="149">
        <f>G40*G24*(1+$C$11)</f>
        <v>15011.529</v>
      </c>
    </row>
    <row r="42" spans="2:7" s="4" customFormat="1" ht="18" customHeight="1" x14ac:dyDescent="0.2">
      <c r="B42" s="20"/>
      <c r="C42" s="149"/>
      <c r="D42" s="149"/>
      <c r="E42" s="149"/>
      <c r="F42" s="149"/>
      <c r="G42" s="149"/>
    </row>
    <row r="43" spans="2:7" s="4" customFormat="1" ht="18" customHeight="1" x14ac:dyDescent="0.2">
      <c r="B43" s="19" t="s">
        <v>301</v>
      </c>
      <c r="C43" s="148">
        <v>2200</v>
      </c>
      <c r="D43" s="148">
        <f>C43*(1+$C$9)</f>
        <v>2266</v>
      </c>
      <c r="E43" s="148">
        <f>D43</f>
        <v>2266</v>
      </c>
      <c r="F43" s="148">
        <f>E43*(1+$C$10)</f>
        <v>2288.66</v>
      </c>
      <c r="G43" s="148">
        <f>F43</f>
        <v>2288.66</v>
      </c>
    </row>
    <row r="44" spans="2:7" s="4" customFormat="1" ht="18" customHeight="1" x14ac:dyDescent="0.2">
      <c r="B44" s="20" t="s">
        <v>71</v>
      </c>
      <c r="C44" s="149">
        <f>SUM(D44:G44)</f>
        <v>50556.726000000002</v>
      </c>
      <c r="D44" s="149">
        <f>D43*D25*(1+$C$11)</f>
        <v>12576.300000000001</v>
      </c>
      <c r="E44" s="149">
        <f>E43*E25*(1+$C$11)</f>
        <v>12576.300000000001</v>
      </c>
      <c r="F44" s="149">
        <f>F43*F25*(1+$C$11)</f>
        <v>12702.063</v>
      </c>
      <c r="G44" s="149">
        <f>G43*G25*(1+$C$11)</f>
        <v>12702.063</v>
      </c>
    </row>
    <row r="45" spans="2:7" s="4" customFormat="1" ht="18" customHeight="1" x14ac:dyDescent="0.2">
      <c r="B45" s="19"/>
      <c r="C45" s="148"/>
      <c r="D45" s="148"/>
      <c r="E45" s="148"/>
      <c r="F45" s="148"/>
      <c r="G45" s="148"/>
    </row>
    <row r="46" spans="2:7" s="4" customFormat="1" ht="18" customHeight="1" x14ac:dyDescent="0.2">
      <c r="B46" s="20" t="s">
        <v>303</v>
      </c>
      <c r="C46" s="149">
        <v>2300</v>
      </c>
      <c r="D46" s="149">
        <f>C46*(1+$C$9)</f>
        <v>2369</v>
      </c>
      <c r="E46" s="149">
        <f>D46</f>
        <v>2369</v>
      </c>
      <c r="F46" s="149">
        <f>E46*(1+$C$10)</f>
        <v>2392.69</v>
      </c>
      <c r="G46" s="149">
        <f>F46</f>
        <v>2392.69</v>
      </c>
    </row>
    <row r="47" spans="2:7" s="4" customFormat="1" ht="18" customHeight="1" x14ac:dyDescent="0.2">
      <c r="B47" s="19" t="s">
        <v>71</v>
      </c>
      <c r="C47" s="148">
        <f>SUM(D47:G47)</f>
        <v>70473.012000000017</v>
      </c>
      <c r="D47" s="148">
        <f>D46*D26*(1+$C$11)</f>
        <v>17530.600000000002</v>
      </c>
      <c r="E47" s="148">
        <f>E46*E26*(1+$C$11)</f>
        <v>17530.600000000002</v>
      </c>
      <c r="F47" s="148">
        <f>F46*F26*(1+$C$11)</f>
        <v>17705.906000000003</v>
      </c>
      <c r="G47" s="148">
        <f>G46*G26*(1+$C$11)</f>
        <v>17705.906000000003</v>
      </c>
    </row>
    <row r="48" spans="2:7" s="4" customFormat="1" ht="18" customHeight="1" x14ac:dyDescent="0.2">
      <c r="B48" s="20"/>
      <c r="C48" s="149"/>
      <c r="D48" s="149"/>
      <c r="E48" s="149"/>
      <c r="F48" s="149"/>
      <c r="G48" s="149"/>
    </row>
    <row r="49" spans="2:7" s="4" customFormat="1" ht="18" customHeight="1" x14ac:dyDescent="0.2">
      <c r="B49" s="19" t="s">
        <v>304</v>
      </c>
      <c r="C49" s="148">
        <v>800</v>
      </c>
      <c r="D49" s="148">
        <f>C49*(1+$C$9)</f>
        <v>824</v>
      </c>
      <c r="E49" s="148">
        <f>D49</f>
        <v>824</v>
      </c>
      <c r="F49" s="148">
        <f>E49*(1+$C$10)</f>
        <v>832.24</v>
      </c>
      <c r="G49" s="148">
        <f>F49</f>
        <v>832.24</v>
      </c>
    </row>
    <row r="50" spans="2:7" s="4" customFormat="1" ht="18" customHeight="1" x14ac:dyDescent="0.2">
      <c r="B50" s="20" t="s">
        <v>195</v>
      </c>
      <c r="C50" s="149">
        <f>SUM(D50:G50)</f>
        <v>23739.836286812853</v>
      </c>
      <c r="D50" s="149">
        <f>$C$12*Faturamento!F38</f>
        <v>5846.6728500000008</v>
      </c>
      <c r="E50" s="149">
        <f>$C$12*Faturamento!G38</f>
        <v>5905.1395785000004</v>
      </c>
      <c r="F50" s="149">
        <f>$C$12*Faturamento!H38</f>
        <v>5964.1909742849994</v>
      </c>
      <c r="G50" s="149">
        <f>$C$12*Faturamento!I38</f>
        <v>6023.83288402785</v>
      </c>
    </row>
    <row r="51" spans="2:7" s="4" customFormat="1" ht="18" customHeight="1" x14ac:dyDescent="0.2">
      <c r="B51" s="19" t="s">
        <v>71</v>
      </c>
      <c r="C51" s="148">
        <f>SUM(D51:G51)</f>
        <v>92943.401130603772</v>
      </c>
      <c r="D51" s="148">
        <f>(D50+D49*D28)*(1+$C$11)</f>
        <v>23011.544772500001</v>
      </c>
      <c r="E51" s="148">
        <f>(E50+E49*E28)*(1+$C$11)</f>
        <v>23119.708220225002</v>
      </c>
      <c r="F51" s="148">
        <f>(F50+F49*F28)*(1+$C$11)</f>
        <v>23350.905302427247</v>
      </c>
      <c r="G51" s="148">
        <f>(G50+G49*G28)*(1+$C$11)</f>
        <v>23461.242835451525</v>
      </c>
    </row>
    <row r="52" spans="2:7" s="4" customFormat="1" ht="18" customHeight="1" x14ac:dyDescent="0.2">
      <c r="B52" s="20"/>
      <c r="C52" s="149"/>
      <c r="D52" s="149"/>
      <c r="E52" s="149"/>
      <c r="F52" s="149"/>
      <c r="G52" s="149"/>
    </row>
    <row r="53" spans="2:7" s="4" customFormat="1" ht="18" customHeight="1" x14ac:dyDescent="0.2">
      <c r="B53" s="19" t="s">
        <v>305</v>
      </c>
      <c r="C53" s="148">
        <v>2000</v>
      </c>
      <c r="D53" s="148">
        <f>C53*(1+$C$9)</f>
        <v>2060</v>
      </c>
      <c r="E53" s="148">
        <f>D53</f>
        <v>2060</v>
      </c>
      <c r="F53" s="148">
        <f>E53*(1+$C$10)</f>
        <v>2080.6</v>
      </c>
      <c r="G53" s="148">
        <f>F53</f>
        <v>2080.6</v>
      </c>
    </row>
    <row r="54" spans="2:7" s="4" customFormat="1" ht="18" customHeight="1" x14ac:dyDescent="0.2">
      <c r="B54" s="20" t="s">
        <v>71</v>
      </c>
      <c r="C54" s="149">
        <f>SUM(D54:G54)</f>
        <v>15320.220000000001</v>
      </c>
      <c r="D54" s="149">
        <f>D53*D29*(1+$C$11)</f>
        <v>3811</v>
      </c>
      <c r="E54" s="149">
        <f>E53*E29*(1+$C$11)</f>
        <v>3811</v>
      </c>
      <c r="F54" s="149">
        <f>F53*F29*(1+$C$11)</f>
        <v>3849.11</v>
      </c>
      <c r="G54" s="149">
        <f>G53*G29*(1+$C$11)</f>
        <v>3849.11</v>
      </c>
    </row>
    <row r="55" spans="2:7" s="4" customFormat="1" ht="18" customHeight="1" x14ac:dyDescent="0.2">
      <c r="B55" s="19"/>
      <c r="C55" s="148"/>
      <c r="D55" s="148"/>
      <c r="E55" s="148"/>
      <c r="F55" s="148"/>
      <c r="G55" s="148"/>
    </row>
    <row r="56" spans="2:7" s="4" customFormat="1" ht="18" customHeight="1" x14ac:dyDescent="0.2">
      <c r="B56" s="20" t="s">
        <v>306</v>
      </c>
      <c r="C56" s="149">
        <v>1900</v>
      </c>
      <c r="D56" s="149">
        <f>C56*(1+$C$9)</f>
        <v>1957</v>
      </c>
      <c r="E56" s="149">
        <f>D56</f>
        <v>1957</v>
      </c>
      <c r="F56" s="149">
        <f>E56*(1+$C$10)</f>
        <v>1976.57</v>
      </c>
      <c r="G56" s="149">
        <f>F56</f>
        <v>1976.57</v>
      </c>
    </row>
    <row r="57" spans="2:7" s="4" customFormat="1" ht="18" customHeight="1" x14ac:dyDescent="0.2">
      <c r="B57" s="19" t="s">
        <v>71</v>
      </c>
      <c r="C57" s="148">
        <f>SUM(D57:G57)</f>
        <v>43662.627</v>
      </c>
      <c r="D57" s="148">
        <f>D56*D30*(1+$C$11)</f>
        <v>10861.35</v>
      </c>
      <c r="E57" s="148">
        <f>E56*E30*(1+$C$11)</f>
        <v>10861.35</v>
      </c>
      <c r="F57" s="148">
        <f>F56*F30*(1+$C$11)</f>
        <v>10969.9635</v>
      </c>
      <c r="G57" s="148">
        <f>G56*G30*(1+$C$11)</f>
        <v>10969.9635</v>
      </c>
    </row>
    <row r="58" spans="2:7" s="4" customFormat="1" ht="18" customHeight="1" x14ac:dyDescent="0.2">
      <c r="B58" s="20"/>
      <c r="C58" s="149"/>
      <c r="D58" s="149"/>
      <c r="E58" s="149"/>
      <c r="F58" s="149"/>
      <c r="G58" s="149"/>
    </row>
    <row r="59" spans="2:7" s="4" customFormat="1" ht="18" customHeight="1" x14ac:dyDescent="0.2">
      <c r="B59" s="136" t="s">
        <v>307</v>
      </c>
      <c r="C59" s="172">
        <f>C57+C54+C51+C47+C44+C41+C38</f>
        <v>430190.95899715298</v>
      </c>
      <c r="D59" s="172">
        <f>D57+D54+D51+D47+D44+D41+D38</f>
        <v>106457.96588508086</v>
      </c>
      <c r="E59" s="172">
        <f>E57+E54+E51+E47+E44+E41+E38</f>
        <v>107159.81972816151</v>
      </c>
      <c r="F59" s="172">
        <f>F57+F54+F51+F47+F44+F41+F38</f>
        <v>108231.41792544314</v>
      </c>
      <c r="G59" s="172">
        <f>G57+G54+G51+G47+G44+G41+G38</f>
        <v>108341.75545846741</v>
      </c>
    </row>
    <row r="60" spans="2:7" s="4" customFormat="1" ht="18" customHeight="1" x14ac:dyDescent="0.2"/>
    <row r="61" spans="2:7" s="4" customFormat="1" ht="18" customHeight="1" x14ac:dyDescent="0.2">
      <c r="B61" s="72" t="s">
        <v>308</v>
      </c>
    </row>
    <row r="62" spans="2:7" s="4" customFormat="1" ht="18" customHeight="1" x14ac:dyDescent="0.2"/>
    <row r="63" spans="2:7" s="4" customFormat="1" ht="18" customHeight="1" x14ac:dyDescent="0.2"/>
    <row r="64" spans="2:7" s="4" customFormat="1" ht="18" customHeight="1" x14ac:dyDescent="0.2"/>
    <row r="65" s="4" customFormat="1" ht="18" customHeight="1" x14ac:dyDescent="0.2"/>
    <row r="66" s="4" customFormat="1" ht="18" customHeight="1" x14ac:dyDescent="0.2"/>
    <row r="67" s="4" customFormat="1" ht="18" customHeight="1" x14ac:dyDescent="0.2"/>
    <row r="68" s="4" customFormat="1" ht="18" customHeight="1" x14ac:dyDescent="0.2"/>
    <row r="69" s="4" customFormat="1" ht="18" customHeight="1" x14ac:dyDescent="0.2"/>
    <row r="70" s="4" customFormat="1" ht="18" customHeight="1" x14ac:dyDescent="0.2"/>
    <row r="71" s="4" customFormat="1" ht="18" customHeight="1" x14ac:dyDescent="0.2"/>
    <row r="72" s="4" customFormat="1" ht="18" customHeight="1" x14ac:dyDescent="0.2"/>
    <row r="73" s="146" customFormat="1" ht="30" customHeight="1" x14ac:dyDescent="0.2"/>
    <row r="74" s="4" customFormat="1" ht="18" customHeight="1" x14ac:dyDescent="0.2"/>
    <row r="75" s="4" customFormat="1" ht="18" customHeight="1" x14ac:dyDescent="0.2"/>
    <row r="76" s="4" customFormat="1" ht="18" customHeight="1" x14ac:dyDescent="0.2"/>
    <row r="77" s="4" customFormat="1" ht="18" customHeight="1" x14ac:dyDescent="0.2"/>
    <row r="78" s="4" customFormat="1" ht="18" customHeight="1" x14ac:dyDescent="0.2"/>
    <row r="79" s="4" customFormat="1" ht="18" customHeight="1" x14ac:dyDescent="0.2"/>
    <row r="80" s="4" customFormat="1" ht="18" customHeight="1" x14ac:dyDescent="0.2"/>
    <row r="81" s="4" customFormat="1" ht="18" customHeight="1" x14ac:dyDescent="0.2"/>
    <row r="82" s="4" customFormat="1" ht="18" customHeight="1" x14ac:dyDescent="0.2"/>
    <row r="83" s="4" customFormat="1" ht="18" customHeight="1" x14ac:dyDescent="0.2"/>
    <row r="84" s="4" customFormat="1" ht="18" customHeight="1" x14ac:dyDescent="0.2"/>
    <row r="85" s="4" customFormat="1" ht="18" customHeight="1" x14ac:dyDescent="0.2"/>
    <row r="86" s="4" customFormat="1" ht="18" customHeight="1" x14ac:dyDescent="0.2"/>
    <row r="87" s="4" customFormat="1" ht="18" customHeight="1" x14ac:dyDescent="0.2"/>
    <row r="88" s="4" customFormat="1" ht="18" customHeight="1" x14ac:dyDescent="0.2"/>
    <row r="89" s="4" customFormat="1" ht="18" customHeight="1" x14ac:dyDescent="0.2"/>
    <row r="90" s="4" customFormat="1" ht="18" customHeight="1" x14ac:dyDescent="0.2"/>
    <row r="91" s="4" customFormat="1" ht="18" customHeight="1" x14ac:dyDescent="0.2"/>
    <row r="92" s="4" customFormat="1" ht="18" customHeight="1" x14ac:dyDescent="0.2"/>
    <row r="93" s="4" customFormat="1" ht="18" customHeight="1" x14ac:dyDescent="0.2"/>
    <row r="94" s="4" customFormat="1" ht="18" customHeight="1" x14ac:dyDescent="0.2"/>
    <row r="95" s="4" customFormat="1" ht="18" customHeight="1" x14ac:dyDescent="0.2"/>
    <row r="96" s="4" customFormat="1" ht="18" customHeight="1" x14ac:dyDescent="0.2"/>
    <row r="97" s="4" customFormat="1" ht="18" customHeight="1" x14ac:dyDescent="0.2"/>
    <row r="98" s="4" customFormat="1" ht="18" customHeight="1" x14ac:dyDescent="0.2"/>
    <row r="99" s="4" customFormat="1" ht="18" customHeight="1" x14ac:dyDescent="0.2"/>
    <row r="100" s="4" customFormat="1" ht="18" customHeight="1" x14ac:dyDescent="0.2"/>
    <row r="101" s="4" customFormat="1" ht="18" customHeight="1" x14ac:dyDescent="0.2"/>
    <row r="102" s="4" customFormat="1" ht="18" customHeight="1" x14ac:dyDescent="0.2"/>
    <row r="103" s="4" customFormat="1" ht="18" customHeight="1" x14ac:dyDescent="0.2"/>
    <row r="104" s="4" customFormat="1" ht="18" customHeight="1" x14ac:dyDescent="0.2"/>
    <row r="105" s="4" customFormat="1" ht="18" customHeight="1" x14ac:dyDescent="0.2"/>
    <row r="106" s="4" customFormat="1" ht="18" customHeight="1" x14ac:dyDescent="0.2"/>
    <row r="107" s="4" customFormat="1" ht="18" customHeight="1" x14ac:dyDescent="0.2"/>
    <row r="108" s="4" customFormat="1" ht="18" customHeight="1" x14ac:dyDescent="0.2"/>
    <row r="109" s="4" customFormat="1" ht="18" customHeight="1" x14ac:dyDescent="0.2"/>
    <row r="110" s="4" customFormat="1" ht="18" customHeight="1" x14ac:dyDescent="0.2"/>
    <row r="111" s="4" customFormat="1" ht="18" customHeight="1" x14ac:dyDescent="0.2"/>
    <row r="112" s="4" customFormat="1" ht="18" customHeight="1" x14ac:dyDescent="0.2"/>
    <row r="113" s="4" customFormat="1" ht="18" customHeight="1" x14ac:dyDescent="0.2"/>
    <row r="114" s="4" customFormat="1" ht="18" customHeight="1" x14ac:dyDescent="0.2"/>
    <row r="115" s="4" customFormat="1" ht="18" customHeight="1" x14ac:dyDescent="0.2"/>
    <row r="116" s="4" customFormat="1" ht="18" customHeight="1" x14ac:dyDescent="0.2"/>
    <row r="117" s="4" customFormat="1" ht="18" customHeight="1" x14ac:dyDescent="0.2"/>
    <row r="118" s="4" customFormat="1" ht="18" customHeight="1" x14ac:dyDescent="0.2"/>
    <row r="119" s="4" customFormat="1" ht="18" customHeight="1" x14ac:dyDescent="0.2"/>
    <row r="120" s="4" customFormat="1" ht="18" customHeight="1" x14ac:dyDescent="0.2"/>
    <row r="121" s="4" customFormat="1" ht="18" customHeight="1" x14ac:dyDescent="0.2"/>
    <row r="122" s="4" customFormat="1" ht="18" customHeight="1" x14ac:dyDescent="0.2"/>
    <row r="123" s="4" customFormat="1" ht="18" customHeight="1" x14ac:dyDescent="0.2"/>
    <row r="124" s="4" customFormat="1" ht="18" customHeight="1" x14ac:dyDescent="0.2"/>
    <row r="125" s="4" customFormat="1" ht="18" customHeight="1" x14ac:dyDescent="0.2"/>
    <row r="126" s="4" customFormat="1" ht="18" customHeight="1" x14ac:dyDescent="0.2"/>
    <row r="127" s="4" customFormat="1" ht="18" customHeight="1" x14ac:dyDescent="0.2"/>
    <row r="128" s="4" customFormat="1" ht="18" customHeight="1" x14ac:dyDescent="0.2"/>
    <row r="129" s="4" customFormat="1" ht="18" customHeight="1" x14ac:dyDescent="0.2"/>
    <row r="130" s="4" customFormat="1" ht="18" customHeight="1" x14ac:dyDescent="0.2"/>
    <row r="131" s="4" customFormat="1" ht="18" customHeight="1" x14ac:dyDescent="0.2"/>
    <row r="132" s="4" customFormat="1" ht="18" customHeight="1" x14ac:dyDescent="0.2"/>
    <row r="133" s="4" customFormat="1" ht="18" customHeight="1" x14ac:dyDescent="0.2"/>
    <row r="134" s="4" customFormat="1" ht="18" customHeight="1" x14ac:dyDescent="0.2"/>
    <row r="135" s="4" customFormat="1" ht="18" customHeight="1" x14ac:dyDescent="0.2"/>
    <row r="136" s="4" customFormat="1" ht="18" customHeight="1" x14ac:dyDescent="0.2"/>
    <row r="137" s="4" customFormat="1" ht="18" customHeight="1" x14ac:dyDescent="0.2"/>
    <row r="138" s="4" customFormat="1" ht="18" customHeight="1" x14ac:dyDescent="0.2"/>
    <row r="139" s="4" customFormat="1" ht="18" customHeight="1" x14ac:dyDescent="0.2"/>
    <row r="140" s="4" customFormat="1" ht="18" customHeight="1" x14ac:dyDescent="0.2"/>
    <row r="141" s="4" customFormat="1" ht="18" customHeight="1" x14ac:dyDescent="0.2"/>
    <row r="142" s="4" customFormat="1" ht="18" customHeight="1" x14ac:dyDescent="0.2"/>
    <row r="143" s="4" customFormat="1" ht="18" customHeight="1" x14ac:dyDescent="0.2"/>
    <row r="144" s="4" customFormat="1" ht="18" customHeight="1" x14ac:dyDescent="0.2"/>
    <row r="145" s="4" customFormat="1" ht="18" customHeight="1" x14ac:dyDescent="0.2"/>
    <row r="146" s="4" customFormat="1" ht="18" customHeight="1" x14ac:dyDescent="0.2"/>
  </sheetData>
  <mergeCells count="6">
    <mergeCell ref="A1:XFD1"/>
    <mergeCell ref="C17:G17"/>
    <mergeCell ref="C34:G34"/>
    <mergeCell ref="B34:B35"/>
    <mergeCell ref="B17:B18"/>
    <mergeCell ref="B8:C8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>
    <oddHeader>&amp;R&amp;"Arial,Itálico"&amp;12Planejamento Empresarial e Orçamentário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Instruções</vt:lpstr>
      <vt:lpstr>Premissas econômicas</vt:lpstr>
      <vt:lpstr>Plano de vendas</vt:lpstr>
      <vt:lpstr>Faturamento</vt:lpstr>
      <vt:lpstr>Plano de produção</vt:lpstr>
      <vt:lpstr>Matéria-prima</vt:lpstr>
      <vt:lpstr>Mão de obra</vt:lpstr>
      <vt:lpstr>Investimento</vt:lpstr>
      <vt:lpstr>Plano de RH</vt:lpstr>
      <vt:lpstr>Gastos operacionais</vt:lpstr>
      <vt:lpstr>Custo do produto</vt:lpstr>
      <vt:lpstr>Plano financeiro</vt:lpstr>
      <vt:lpstr>DRE Projetado</vt:lpstr>
      <vt:lpstr>Balanço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YUH CHING</dc:creator>
  <cp:lastModifiedBy>Anselmo Massad</cp:lastModifiedBy>
  <cp:lastPrinted>2001-01-28T20:40:43Z</cp:lastPrinted>
  <dcterms:created xsi:type="dcterms:W3CDTF">1999-09-21T15:57:39Z</dcterms:created>
  <dcterms:modified xsi:type="dcterms:W3CDTF">2016-04-12T17:07:02Z</dcterms:modified>
</cp:coreProperties>
</file>